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defaultThemeVersion="124226"/>
  <mc:AlternateContent xmlns:mc="http://schemas.openxmlformats.org/markup-compatibility/2006">
    <mc:Choice Requires="x15">
      <x15ac:absPath xmlns:x15ac="http://schemas.microsoft.com/office/spreadsheetml/2010/11/ac" url="Z:\"/>
    </mc:Choice>
  </mc:AlternateContent>
  <xr:revisionPtr revIDLastSave="0" documentId="8_{4211F5EC-36AA-48A4-B9CA-7C30E4F265B6}" xr6:coauthVersionLast="47" xr6:coauthVersionMax="47" xr10:uidLastSave="{00000000-0000-0000-0000-000000000000}"/>
  <bookViews>
    <workbookView xWindow="-120" yWindow="-120" windowWidth="24240" windowHeight="13140" firstSheet="8" activeTab="8" xr2:uid="{00000000-000D-0000-FFFF-FFFF00000000}"/>
  </bookViews>
  <sheets>
    <sheet name="Instructivo" sheetId="23" r:id="rId1"/>
    <sheet name="Definiciones" sheetId="22" r:id="rId2"/>
    <sheet name="Ambiente de Control" sheetId="24" state="hidden" r:id="rId3"/>
    <sheet name="Evaluación de riesgos" sheetId="18" state="hidden" r:id="rId4"/>
    <sheet name="Actividades de control" sheetId="17" state="hidden" r:id="rId5"/>
    <sheet name="Info y Comunicación" sheetId="19" state="hidden" r:id="rId6"/>
    <sheet name="Actividades de Monitoreo" sheetId="20" state="hidden" r:id="rId7"/>
    <sheet name="Analisis de Resultados" sheetId="29" r:id="rId8"/>
    <sheet name="Conclusiones" sheetId="30" r:id="rId9"/>
    <sheet name="Hoja1" sheetId="28"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0" localSheetId="7">#REF!</definedName>
    <definedName name="\0">#REF!</definedName>
    <definedName name="\BD" localSheetId="7">#REF!</definedName>
    <definedName name="\BD">#REF!</definedName>
    <definedName name="\BJ" localSheetId="7">#REF!</definedName>
    <definedName name="\BJ">#REF!</definedName>
    <definedName name="\BP" localSheetId="7">#REF!</definedName>
    <definedName name="\BP">#REF!</definedName>
    <definedName name="\c" localSheetId="7">[1]BDATOS!#REF!</definedName>
    <definedName name="\c">[1]BDATOS!#REF!</definedName>
    <definedName name="\CA" localSheetId="7">#REF!</definedName>
    <definedName name="\CA">#REF!</definedName>
    <definedName name="\i" localSheetId="7">#REF!</definedName>
    <definedName name="\i">#REF!</definedName>
    <definedName name="\m" localSheetId="7">#REF!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 localSheetId="7">'[3]384-Acciones Corporacion'!#REF!</definedName>
    <definedName name="_296">'[3]384-Acciones Corporacion'!#REF!</definedName>
    <definedName name="_3__123Graph_AC86W90" hidden="1">[2]WIZ!$AF$19:$AF$30</definedName>
    <definedName name="_304" localSheetId="7">'[3]384-Acciones Corporacion'!#REF!</definedName>
    <definedName name="_304">'[3]384-Acciones Corporacion'!#REF!</definedName>
    <definedName name="_312" localSheetId="7">'[3]384-Acciones Corporacion'!#REF!</definedName>
    <definedName name="_312">'[3]384-Acciones Corporacion'!#REF!</definedName>
    <definedName name="_320" localSheetId="7">'[3]384-Acciones Corporacion'!#REF!</definedName>
    <definedName name="_320">'[3]384-Acciones Corporacion'!#REF!</definedName>
    <definedName name="_336" localSheetId="7">'[3]384-Acciones Corporacion'!#REF!</definedName>
    <definedName name="_336">'[3]384-Acciones Corporacion'!#REF!</definedName>
    <definedName name="_344" localSheetId="7">'[3]384-Acciones Corporacion'!#REF!</definedName>
    <definedName name="_344">'[3]384-Acciones Corporacion'!#REF!</definedName>
    <definedName name="_352" localSheetId="7">'[3]384-Acciones Corporacion'!#REF!</definedName>
    <definedName name="_352">'[3]384-Acciones Corporacion'!#REF!</definedName>
    <definedName name="_4__123Graph_BC86W_2" hidden="1">[2]WIZ!$F$32:$F$43</definedName>
    <definedName name="_5__123Graph_BC86W30" hidden="1">[2]WIZ!$AE$32:$AE$43</definedName>
    <definedName name="_522" localSheetId="7">'[3]384-Acciones Corporacion'!#REF!</definedName>
    <definedName name="_522">'[3]384-Acciones Corporacion'!#REF!</definedName>
    <definedName name="_530" localSheetId="7">'[3]384-Acciones Corporacion'!#REF!</definedName>
    <definedName name="_530">'[3]384-Acciones Corporacion'!#REF!</definedName>
    <definedName name="_546" localSheetId="7">'[3]384-Acciones Corporacion'!#REF!</definedName>
    <definedName name="_546">'[3]384-Acciones Corporacion'!#REF!</definedName>
    <definedName name="_554" localSheetId="7">'[3]384-Acciones Corporacion'!#REF!</definedName>
    <definedName name="_554">'[3]384-Acciones Corporacion'!#REF!</definedName>
    <definedName name="_562" localSheetId="7">'[3]384-Acciones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4" hidden="1">'Actividades de control'!$C$1:$C$122</definedName>
    <definedName name="_xlnm._FilterDatabase" localSheetId="7" hidden="1">#REF!</definedName>
    <definedName name="_xlnm._FilterDatabase" localSheetId="3" hidden="1">'Evaluación de riesgos'!$C$5:$C$160</definedName>
    <definedName name="_xlnm._FilterDatabase" localSheetId="5" hidden="1">'Info y Comunicación'!$C$1:$C$138</definedName>
    <definedName name="_xlnm._FilterDatabase" hidden="1">#REF!</definedName>
    <definedName name="_Key1" localSheetId="7" hidden="1">#REF!</definedName>
    <definedName name="_Key1" hidden="1">#REF!</definedName>
    <definedName name="_Key2" localSheetId="7" hidden="1">#REF!</definedName>
    <definedName name="_Key2" hidden="1">#REF!</definedName>
    <definedName name="_Order1" hidden="1">255</definedName>
    <definedName name="_Order2" hidden="1">255</definedName>
    <definedName name="_Parse_Out" localSheetId="7" hidden="1">'[4]B.BTA.S.VALORES'!#REF!</definedName>
    <definedName name="_Parse_Out" hidden="1">'[4]B.BTA.S.VALORES'!#REF!</definedName>
    <definedName name="_Sort" localSheetId="7" hidden="1">#REF!</definedName>
    <definedName name="_Sort" hidden="1">#REF!</definedName>
    <definedName name="A">[5]oficial!$A$1:$H$160</definedName>
    <definedName name="A_IMPRESIÓN_IM" localSheetId="7">#REF!</definedName>
    <definedName name="A_IMPRESIÓN_IM">#REF!</definedName>
    <definedName name="A205_" localSheetId="7">#REF!</definedName>
    <definedName name="A205_">#REF!</definedName>
    <definedName name="A242_" localSheetId="7">#REF!</definedName>
    <definedName name="A242_">#REF!</definedName>
    <definedName name="A255_" localSheetId="7">#REF!</definedName>
    <definedName name="A255_">#REF!</definedName>
    <definedName name="A498_" localSheetId="7">#REF!</definedName>
    <definedName name="A498_">#REF!</definedName>
    <definedName name="A534_">#N/A</definedName>
    <definedName name="A598_" localSheetId="7">#REF!</definedName>
    <definedName name="A598_">#REF!</definedName>
    <definedName name="A641_" localSheetId="7">#REF!</definedName>
    <definedName name="A641_">#REF!</definedName>
    <definedName name="A68_" localSheetId="7">#REF!</definedName>
    <definedName name="A68_">#REF!</definedName>
    <definedName name="A784_" localSheetId="7">#REF!</definedName>
    <definedName name="A784_">#REF!</definedName>
    <definedName name="ACCIONISTASTOTAL" localSheetId="7">'[6]Oper recip'!#REF!</definedName>
    <definedName name="ACCIONISTASTOTAL">'[6]Oper recip'!#REF!</definedName>
    <definedName name="Accounts" localSheetId="7">#REF!</definedName>
    <definedName name="Accounts">#REF!</definedName>
    <definedName name="Accrual___payment_of_dividends" localSheetId="7">#REF!</definedName>
    <definedName name="Accrual___payment_of_dividends">#REF!</definedName>
    <definedName name="ACT" localSheetId="7">#REF!</definedName>
    <definedName name="ACT">#REF!</definedName>
    <definedName name="AFANT" localSheetId="7">#REF!</definedName>
    <definedName name="AFANT">#REF!</definedName>
    <definedName name="AFHOY" localSheetId="7">#REF!</definedName>
    <definedName name="AFHOY">#REF!</definedName>
    <definedName name="ahaccionistas01" localSheetId="7">#REF!</definedName>
    <definedName name="ahaccionistas01">#REF!</definedName>
    <definedName name="AJPAAG" localSheetId="7">#REF!</definedName>
    <definedName name="AJPAAG">#REF!</definedName>
    <definedName name="Anexo" localSheetId="0" hidden="1">{"'para SB'!$A$1420:$F$1479"}</definedName>
    <definedName name="Anexo" hidden="1">{"'para SB'!$A$1420:$F$1479"}</definedName>
    <definedName name="año" localSheetId="7">#REF!</definedName>
    <definedName name="año">#REF!</definedName>
    <definedName name="AÑO_A_PROCESAR" localSheetId="7">#REF!</definedName>
    <definedName name="AÑO_A_PROCESAR">#REF!</definedName>
    <definedName name="año1" localSheetId="7">#REF!</definedName>
    <definedName name="año1">#REF!</definedName>
    <definedName name="AÑOS_A_PROCESAR" localSheetId="7">#REF!</definedName>
    <definedName name="AÑOS_A_PROCESAR">#REF!</definedName>
    <definedName name="AppName" localSheetId="7">#REF!</definedName>
    <definedName name="AppName">#REF!</definedName>
    <definedName name="_xlnm.Print_Area" localSheetId="7">#REF!</definedName>
    <definedName name="_xlnm.Print_Area">#REF!</definedName>
    <definedName name="Área_de_impresión1" localSheetId="7">#REF!</definedName>
    <definedName name="Área_de_impresión1">#REF!</definedName>
    <definedName name="AS2DocOpenMode" hidden="1">"AS2DocumentEdit"</definedName>
    <definedName name="AS2ReportLS" hidden="1">1</definedName>
    <definedName name="AS2SyncStepLS" hidden="1">0</definedName>
    <definedName name="AS2TickmarkLS" localSheetId="7" hidden="1">#REF!</definedName>
    <definedName name="AS2TickmarkLS" hidden="1">#REF!</definedName>
    <definedName name="AS2VersionLS" hidden="1">300</definedName>
    <definedName name="ASFSD" localSheetId="7">#REF!</definedName>
    <definedName name="ASFSD">#REF!</definedName>
    <definedName name="Assertions" localSheetId="7">#REF!</definedName>
    <definedName name="Assertions">#REF!</definedName>
    <definedName name="BASE" localSheetId="7">#REF!</definedName>
    <definedName name="BASE">#REF!</definedName>
    <definedName name="BCE" localSheetId="7">#REF!</definedName>
    <definedName name="BCE">#REF!</definedName>
    <definedName name="BCEBONOS" localSheetId="7">#REF!</definedName>
    <definedName name="BCEBONOS">#REF!</definedName>
    <definedName name="BCECAMBIOS" localSheetId="7">#REF!</definedName>
    <definedName name="BCECAMBIOS">#REF!</definedName>
    <definedName name="BCEEMPRESA" localSheetId="7">#REF!</definedName>
    <definedName name="BCEEMPRESA">#REF!</definedName>
    <definedName name="BCERENTA" localSheetId="7">#REF!</definedName>
    <definedName name="BCERENTA">#REF!</definedName>
    <definedName name="BCETESOROS" localSheetId="7">#REF!</definedName>
    <definedName name="BCETESOROS">#REF!</definedName>
    <definedName name="BG_Del" hidden="1">15</definedName>
    <definedName name="BG_Ins" hidden="1">4</definedName>
    <definedName name="BG_Mod" hidden="1">6</definedName>
    <definedName name="BLOQUE" localSheetId="7">#REF!</definedName>
    <definedName name="BLOQUE">#REF!</definedName>
    <definedName name="BuiltIn_Print_Area___0" localSheetId="7">#REF!</definedName>
    <definedName name="BuiltIn_Print_Area___0">#REF!</definedName>
    <definedName name="BuiltIn_Print_Titles___0" localSheetId="7">#REF!</definedName>
    <definedName name="BuiltIn_Print_Titles___0">#REF!</definedName>
    <definedName name="CALCULO" localSheetId="7">[1]BDATOS!#REF!</definedName>
    <definedName name="CALCULO">[1]BDATOS!#REF!</definedName>
    <definedName name="CAR" localSheetId="7">#REF!</definedName>
    <definedName name="CAR">#REF!</definedName>
    <definedName name="CAVR" localSheetId="7">#REF!</definedName>
    <definedName name="CAVR">#REF!</definedName>
    <definedName name="cdtaccinistas01" localSheetId="7">#REF!</definedName>
    <definedName name="cdtaccinistas01">#REF!</definedName>
    <definedName name="CO.Otros_Cuentas" localSheetId="7">#REF!</definedName>
    <definedName name="CO.Otros_Cuentas">#REF!</definedName>
    <definedName name="CO.Otros_Monto" localSheetId="7">#REF!</definedName>
    <definedName name="CO.Otros_Monto">#REF!</definedName>
    <definedName name="CO.Riesgo_Cuentas" localSheetId="7">#REF!</definedName>
    <definedName name="CO.Riesgo_Cuentas">#REF!</definedName>
    <definedName name="CO.Riesgo_Monto" localSheetId="7">#REF!</definedName>
    <definedName name="CO.Riesgo_Monto">#REF!</definedName>
    <definedName name="CO.Tesoreria_Cuentas" localSheetId="7">#REF!</definedName>
    <definedName name="CO.Tesoreria_Cuentas">#REF!</definedName>
    <definedName name="COMP3CM" localSheetId="7">#REF!,#REF!,#REF!,#REF!,#REF!</definedName>
    <definedName name="COMP3CM">#REF!,#REF!,#REF!,#REF!,#REF!</definedName>
    <definedName name="COMP3PM" localSheetId="7">#REF!,#REF!,#REF!,#REF!</definedName>
    <definedName name="COMP3PM">#REF!,#REF!,#REF!,#REF!</definedName>
    <definedName name="COMP3PY" localSheetId="7">#REF!,#REF!,#REF!,#REF!,#REF!</definedName>
    <definedName name="COMP3PY">#REF!,#REF!,#REF!,#REF!,#REF!</definedName>
    <definedName name="COMPCM" localSheetId="7">#REF!,#REF!,#REF!,#REF!,#REF!,#REF!,#REF!</definedName>
    <definedName name="COMPCM">#REF!,#REF!,#REF!,#REF!,#REF!,#REF!,#REF!</definedName>
    <definedName name="COMPPM" localSheetId="7">#REF!,#REF!,#REF!,#REF!,#REF!,#REF!,#REF!</definedName>
    <definedName name="COMPPM">#REF!,#REF!,#REF!,#REF!,#REF!,#REF!,#REF!</definedName>
    <definedName name="COMPPY" localSheetId="7">#REF!,#REF!,#REF!,#REF!,#REF!,#REF!,#REF!,#REF!</definedName>
    <definedName name="COMPPY">#REF!,#REF!,#REF!,#REF!,#REF!,#REF!,#REF!,#REF!</definedName>
    <definedName name="con10_partic" localSheetId="7">#REF!</definedName>
    <definedName name="con10_partic">#REF!</definedName>
    <definedName name="conahdirectivos01" localSheetId="7">#REF!</definedName>
    <definedName name="conahdirectivos01">#REF!</definedName>
    <definedName name="conahojunta01" localSheetId="7">#REF!</definedName>
    <definedName name="conahojunta01">#REF!</definedName>
    <definedName name="concdtdirectivos01" localSheetId="7">#REF!</definedName>
    <definedName name="concdtdirectivos01">#REF!</definedName>
    <definedName name="concdtentidades01" localSheetId="7">#REF!</definedName>
    <definedName name="concdtentidades01">#REF!</definedName>
    <definedName name="CONGASTO" localSheetId="7">[1]BDATOS!#REF!</definedName>
    <definedName name="CONGASTO">[1]BDATOS!#REF!</definedName>
    <definedName name="conotros" localSheetId="7">#REF!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 localSheetId="7">[9]!ContAverage</definedName>
    <definedName name="ContAverage">[9]!ContAverage</definedName>
    <definedName name="CORDEN" localSheetId="7">#REF!</definedName>
    <definedName name="CORDEN">#REF!</definedName>
    <definedName name="CREDITO">[10]oficial!$H$1:$H$160</definedName>
    <definedName name="CUENTA96" localSheetId="7">#REF!</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localSheetId="7" hidden="1">'[4]B.BTA.S.VALORES'!#REF!</definedName>
    <definedName name="Div" hidden="1">'[4]B.BTA.S.VALORES'!#REF!</definedName>
    <definedName name="Divide" localSheetId="7">#REF!</definedName>
    <definedName name="Divide">#REF!</definedName>
    <definedName name="doce">'[13]Anexo-Participaciones Dic-11'!$E$22</definedName>
    <definedName name="ELIEXTRA">'[14]ELIMINA EXT'!$A$3:$Y$217</definedName>
    <definedName name="ELIFIL">[14]ELIMINA!$A$4:$AM$231</definedName>
    <definedName name="ELIMEXT" localSheetId="7">#REF!</definedName>
    <definedName name="ELIMEXT">#REF!</definedName>
    <definedName name="ELIMINA" localSheetId="7">#REF!</definedName>
    <definedName name="ELIMINA">#REF!</definedName>
    <definedName name="entidades" localSheetId="7">#REF!</definedName>
    <definedName name="entidades">#REF!</definedName>
    <definedName name="EPIANDES" localSheetId="7">#REF!</definedName>
    <definedName name="EPIANDES">#REF!</definedName>
    <definedName name="ESCRIBA" localSheetId="7">[1]BDATOS!#REF!</definedName>
    <definedName name="ESCRIBA">[1]BDATOS!#REF!</definedName>
    <definedName name="ESTADOS_FINANCIEROS_A_PROCESAR" localSheetId="7">#REF!</definedName>
    <definedName name="ESTADOS_FINANCIEROS_A_PROCESAR">#REF!</definedName>
    <definedName name="ESTCAM" localSheetId="7">#REF!</definedName>
    <definedName name="ESTCAM">#REF!</definedName>
    <definedName name="ET" localSheetId="7">#REF!</definedName>
    <definedName name="ET">#REF!</definedName>
    <definedName name="FailureActual" localSheetId="7">[9]!FailureActual</definedName>
    <definedName name="FailureActual">[9]!FailureActual</definedName>
    <definedName name="FailurePlan" localSheetId="7">[9]!FailurePlan</definedName>
    <definedName name="FailurePlan">[9]!FailurePlan</definedName>
    <definedName name="FILEXT">[14]FILIALEXT!$A$1:$L$4091</definedName>
    <definedName name="FILIAL">[14]FILIAL!$A$3:$AE$5414</definedName>
    <definedName name="FleetAdj" localSheetId="7">[9]!FleetAdj</definedName>
    <definedName name="FleetAdj">[9]!FleetAdj</definedName>
    <definedName name="FleetNoAdj" localSheetId="7">[9]!FleetNoAdj</definedName>
    <definedName name="FleetNoAdj">[9]!FleetNoAdj</definedName>
    <definedName name="GastosRegionales_Monto">'[15]Gastos regionales'!$G$8:$G$47</definedName>
    <definedName name="gorr">"Botón 17"</definedName>
    <definedName name="HTML_CodePage" hidden="1">1252</definedName>
    <definedName name="HTML_Control" localSheetId="0" hidden="1">{"'para SB'!$A$1420:$F$1479"}</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 localSheetId="7">#REF!</definedName>
    <definedName name="INDI">#REF!</definedName>
    <definedName name="INDICACART" localSheetId="7">#REF!</definedName>
    <definedName name="INDICACART">#REF!</definedName>
    <definedName name="INVER" localSheetId="7">#REF!</definedName>
    <definedName name="INVER">#REF!</definedName>
    <definedName name="junio111" localSheetId="7">#REF!</definedName>
    <definedName name="junio111">#REF!</definedName>
    <definedName name="JUNTA" localSheetId="7">#REF!</definedName>
    <definedName name="JUNTA">#REF!</definedName>
    <definedName name="JUNTA1" localSheetId="7">#REF!</definedName>
    <definedName name="JUNTA1">#REF!</definedName>
    <definedName name="LLPModel" localSheetId="7">[16]!LLPModel</definedName>
    <definedName name="LLPModel">[16]!LLPModel</definedName>
    <definedName name="MATRIZ">[17]MATRIZ!$A$7:$BY$4664</definedName>
    <definedName name="MC.PL_Cuentas" localSheetId="7">#REF!</definedName>
    <definedName name="MC.PL_Cuentas">#REF!</definedName>
    <definedName name="MC.PL_Monto" localSheetId="7">#REF!</definedName>
    <definedName name="MC.PL_Monto">#REF!</definedName>
    <definedName name="MESANT" localSheetId="7">#REF!</definedName>
    <definedName name="MESANT">#REF!</definedName>
    <definedName name="MESES">'[18]7'!$AL$3:$AL$7</definedName>
    <definedName name="MESHOY" localSheetId="7">#REF!</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 localSheetId="7">#REF!</definedName>
    <definedName name="MultiSelectNames">#REF!</definedName>
    <definedName name="Nivel" localSheetId="7">#REF!</definedName>
    <definedName name="Nivel">#REF!</definedName>
    <definedName name="NOPUC" localSheetId="7">#REF!</definedName>
    <definedName name="NOPUC">#REF!</definedName>
    <definedName name="OFI">[10]oficial!$A$1:$H$160</definedName>
    <definedName name="ORDEN1" localSheetId="7">#REF!</definedName>
    <definedName name="ORDEN1">#REF!</definedName>
    <definedName name="ORDEN2" localSheetId="7">#REF!</definedName>
    <definedName name="ORDEN2">#REF!</definedName>
    <definedName name="ORDEN3" localSheetId="7">#REF!</definedName>
    <definedName name="ORDEN3">#REF!</definedName>
    <definedName name="ORDEN4" localSheetId="7">#REF!</definedName>
    <definedName name="ORDEN4">#REF!</definedName>
    <definedName name="ORDEN5" localSheetId="7">#REF!</definedName>
    <definedName name="ORDEN5">#REF!</definedName>
    <definedName name="ORDEN6" localSheetId="7">#REF!</definedName>
    <definedName name="ORDEN6">#REF!</definedName>
    <definedName name="p">'[19]Participación Accionaria Junio '!$K$11</definedName>
    <definedName name="PAS" localSheetId="7">#REF!</definedName>
    <definedName name="PAS">#REF!</definedName>
    <definedName name="PAT" localSheetId="7">#REF!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 localSheetId="7">#REF!</definedName>
    <definedName name="PRES">#REF!</definedName>
    <definedName name="PRES1" localSheetId="7">#REF!</definedName>
    <definedName name="PRES1">#REF!</definedName>
    <definedName name="Presup" localSheetId="7">SUMIF([22]DATA!$H$1:$H$65536,#REF!&amp;"-"&amp;#REF!&amp;"-"&amp;MONTH(#REF!),[22]DATA!$G$1:$G$65536)</definedName>
    <definedName name="Presup">SUMIF([22]DATA!$H$1:$H$65536,#REF!&amp;"-"&amp;#REF!&amp;"-"&amp;MONTH(#REF!),[22]DATA!$G$1:$G$65536)</definedName>
    <definedName name="ProductivityWith" localSheetId="7">[9]!ProductivityWith</definedName>
    <definedName name="ProductivityWith">[9]!ProductivityWith</definedName>
    <definedName name="ProductivityWithout" localSheetId="7">[9]!ProductivityWithout</definedName>
    <definedName name="ProductivityWithout">[9]!ProductivityWithout</definedName>
    <definedName name="PUC" localSheetId="7">#REF!</definedName>
    <definedName name="PUC">#REF!</definedName>
    <definedName name="PYG" localSheetId="7">#REF!</definedName>
    <definedName name="PYG">#REF!</definedName>
    <definedName name="PYGBONOS" localSheetId="7">#REF!</definedName>
    <definedName name="PYGBONOS">#REF!</definedName>
    <definedName name="PYGCAMBIOS" localSheetId="7">#REF!</definedName>
    <definedName name="PYGCAMBIOS">#REF!</definedName>
    <definedName name="PYGRENTA" localSheetId="7">#REF!</definedName>
    <definedName name="PYGRENTA">#REF!</definedName>
    <definedName name="PYGTESOROS" localSheetId="7">#REF!</definedName>
    <definedName name="PYGTESOROS">#REF!</definedName>
    <definedName name="qeq">SUMIF([7]DATA1!$B$1:$B$65536,[8]Octubre!$C1,[7]DATA1!XFA$1:XFA$65536)</definedName>
    <definedName name="ref_contr" localSheetId="7">#REF!</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localSheetId="0" hidden="1">{"'Sheet1'!$A$1:$F$179"}</definedName>
    <definedName name="ro" hidden="1">{"'Sheet1'!$A$1:$F$179"}</definedName>
    <definedName name="rod" localSheetId="0" hidden="1">{"'Sheet1'!$A$1:$F$179"}</definedName>
    <definedName name="rod" hidden="1">{"'Sheet1'!$A$1:$F$179"}</definedName>
    <definedName name="rodirgo" localSheetId="0" hidden="1">{"'Sheet1'!$A$1:$F$179"}</definedName>
    <definedName name="rodirgo" hidden="1">{"'Sheet1'!$A$1:$F$179"}</definedName>
    <definedName name="Saldo">SUMIF([7]DATA2!XFB$1:XFB$65536,[8]Octubre!$C1,[7]DATA2!A$1:A$65536)</definedName>
    <definedName name="sdaf" localSheetId="0" hidden="1">{"'para SB'!$A$1420:$F$1479"}</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 localSheetId="7">#REF!</definedName>
    <definedName name="TestTypes">#REF!</definedName>
    <definedName name="TextRefCopyRangeCount" hidden="1">1</definedName>
    <definedName name="Títulos_a_imprimir_IM" localSheetId="7">#REF!,#REF!</definedName>
    <definedName name="Títulos_a_imprimir_IM">#REF!,#REF!</definedName>
    <definedName name="TOTAL" localSheetId="7">#REF!</definedName>
    <definedName name="TOTAL">#REF!</definedName>
    <definedName name="Total_Contagio">SUMIF([7]DATA1!$B$1:$B$65536,[8]Octubre!$C1,[7]DATA1!K$1:K$65536)</definedName>
    <definedName name="Total_Mora">SUMIF([7]DATA1!$B$1:$B$65536,[8]Octubre!$C1,[7]DATA1!K$1:K$65536)</definedName>
    <definedName name="TypesOfTransaction" localSheetId="7">#REF!</definedName>
    <definedName name="TypesOfTransaction">#REF!</definedName>
    <definedName name="uno">'[13]Anexo-Participaciones Dic-11'!$E$9</definedName>
    <definedName name="utilidad" localSheetId="7">'[6]Estado de Resultados'!#REF!</definedName>
    <definedName name="utilidad">'[6]Estado de Resultados'!#REF!</definedName>
    <definedName name="VALID" localSheetId="7">#REF!</definedName>
    <definedName name="VALID">#REF!</definedName>
    <definedName name="VALOR" localSheetId="0" hidden="1">{#N/A,#N/A,FALSE,"ANEXO1";"ACTIVO",#N/A,FALSE,"ANEXO1";"PASIVO",#N/A,FALSE,"ANEXO1";"G Y P",#N/A,FALSE,"ANEXO1"}</definedName>
    <definedName name="VALOR" hidden="1">{#N/A,#N/A,FALSE,"ANEXO1";"ACTIVO",#N/A,FALSE,"ANEXO1";"PASIVO",#N/A,FALSE,"ANEXO1";"G Y P",#N/A,FALSE,"ANEXO1"}</definedName>
    <definedName name="veinticuatro" localSheetId="7">#REF!</definedName>
    <definedName name="veinticuatro">#REF!</definedName>
    <definedName name="veintidos" localSheetId="7">#REF!</definedName>
    <definedName name="veintidos">#REF!</definedName>
    <definedName name="veintitres" localSheetId="7">#REF!</definedName>
    <definedName name="veintitres">#REF!</definedName>
    <definedName name="veintiuno" localSheetId="7">#REF!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localSheetId="0" hidden="1">{#N/A,#N/A,FALSE,"ANEXO1";"ACTIVO",#N/A,FALSE,"ANEXO1";"PASIVO",#N/A,FALSE,"ANEXO1";"G Y P",#N/A,FALSE,"ANEXO1"}</definedName>
    <definedName name="wrn.CONSOLIDADO." hidden="1">{#N/A,#N/A,FALSE,"ANEXO1";"ACTIVO",#N/A,FALSE,"ANEXO1";"PASIVO",#N/A,FALSE,"ANEXO1";"G Y P",#N/A,FALSE,"ANEXO1"}</definedName>
    <definedName name="ws" localSheetId="0" hidden="1">{"'Sheet1'!$A$1:$F$179"}</definedName>
    <definedName name="ws" hidden="1">{"'Sheet1'!$A$1:$F$179"}</definedName>
    <definedName name="XXX" localSheetId="7">#REF!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30" l="1"/>
  <c r="O31" i="30"/>
  <c r="O29" i="30"/>
  <c r="O27" i="30"/>
  <c r="O25" i="30"/>
  <c r="A2" i="23" l="1"/>
  <c r="B24" i="24" l="1"/>
  <c r="B54" i="28"/>
  <c r="B53" i="28"/>
  <c r="B19" i="28"/>
  <c r="K127" i="20"/>
  <c r="L127" i="20" s="1"/>
  <c r="K119" i="20"/>
  <c r="L119" i="20" s="1"/>
  <c r="K111" i="20"/>
  <c r="L111" i="20" s="1"/>
  <c r="K103" i="20"/>
  <c r="L103" i="20" s="1"/>
  <c r="K95" i="20"/>
  <c r="L95" i="20" s="1"/>
  <c r="K87" i="20"/>
  <c r="L87" i="20" s="1"/>
  <c r="K79" i="20"/>
  <c r="L79" i="20" s="1"/>
  <c r="K71" i="20"/>
  <c r="L71" i="20" s="1"/>
  <c r="K63" i="20"/>
  <c r="L63" i="20" s="1"/>
  <c r="K52" i="20"/>
  <c r="L52" i="20" s="1"/>
  <c r="K44" i="20"/>
  <c r="L44" i="20" s="1"/>
  <c r="K36" i="20"/>
  <c r="L36" i="20" s="1"/>
  <c r="K28" i="20"/>
  <c r="L28" i="20" s="1"/>
  <c r="K20" i="20"/>
  <c r="L20" i="20" s="1"/>
  <c r="K131" i="19"/>
  <c r="L131" i="19" s="1"/>
  <c r="K123" i="19"/>
  <c r="L123" i="19" s="1"/>
  <c r="K115" i="19"/>
  <c r="L115" i="19" s="1"/>
  <c r="K107" i="19"/>
  <c r="L107" i="19" s="1"/>
  <c r="K99" i="19"/>
  <c r="L99" i="19" s="1"/>
  <c r="K91" i="19"/>
  <c r="L91" i="19" s="1"/>
  <c r="K79" i="19"/>
  <c r="L79" i="19" s="1"/>
  <c r="K71" i="19"/>
  <c r="L71" i="19" s="1"/>
  <c r="K63" i="19"/>
  <c r="L63" i="19" s="1"/>
  <c r="K55" i="19"/>
  <c r="L55" i="19" s="1"/>
  <c r="K43" i="19"/>
  <c r="L43" i="19" s="1"/>
  <c r="K35" i="19"/>
  <c r="L35" i="19" s="1"/>
  <c r="K27" i="19"/>
  <c r="L27" i="19" s="1"/>
  <c r="K19" i="19"/>
  <c r="L19" i="19" s="1"/>
  <c r="K115" i="17"/>
  <c r="K107" i="17"/>
  <c r="L107" i="17" s="1"/>
  <c r="K99" i="17"/>
  <c r="L99" i="17" s="1"/>
  <c r="K91" i="17"/>
  <c r="L91" i="17" s="1"/>
  <c r="K83" i="17"/>
  <c r="L83" i="17" s="1"/>
  <c r="K72" i="17"/>
  <c r="L72" i="17" s="1"/>
  <c r="K64" i="17"/>
  <c r="L64" i="17" s="1"/>
  <c r="K56" i="17"/>
  <c r="L56" i="17" s="1"/>
  <c r="K48" i="17"/>
  <c r="L48" i="17" s="1"/>
  <c r="K37" i="17"/>
  <c r="L37" i="17" s="1"/>
  <c r="K29" i="17"/>
  <c r="L29" i="17" s="1"/>
  <c r="K21" i="17"/>
  <c r="L21" i="17" s="1"/>
  <c r="K153" i="18"/>
  <c r="L153" i="18" s="1"/>
  <c r="N153" i="18" s="1"/>
  <c r="K145" i="18"/>
  <c r="L145" i="18" s="1"/>
  <c r="N145" i="18" s="1"/>
  <c r="K137" i="18"/>
  <c r="L137" i="18" s="1"/>
  <c r="N137" i="18" s="1"/>
  <c r="K129" i="18"/>
  <c r="L129" i="18" s="1"/>
  <c r="N129" i="18" s="1"/>
  <c r="K121" i="18"/>
  <c r="K110" i="18"/>
  <c r="L110" i="18" s="1"/>
  <c r="N110" i="18" s="1"/>
  <c r="K102" i="18"/>
  <c r="L102" i="18" s="1"/>
  <c r="N102" i="18" s="1"/>
  <c r="K94" i="18"/>
  <c r="L94" i="18" s="1"/>
  <c r="N94" i="18" s="1"/>
  <c r="K86" i="18"/>
  <c r="L86" i="18" s="1"/>
  <c r="N86" i="18" s="1"/>
  <c r="K75" i="18"/>
  <c r="L75" i="18" s="1"/>
  <c r="N75" i="18" s="1"/>
  <c r="K67" i="18"/>
  <c r="L67" i="18" s="1"/>
  <c r="N67" i="18" s="1"/>
  <c r="K59" i="18"/>
  <c r="L59" i="18" s="1"/>
  <c r="N59" i="18" s="1"/>
  <c r="K51" i="18"/>
  <c r="L51" i="18" s="1"/>
  <c r="N51" i="18" s="1"/>
  <c r="K43" i="18"/>
  <c r="L43" i="18" s="1"/>
  <c r="N43" i="18" s="1"/>
  <c r="K32" i="18"/>
  <c r="L32" i="18" s="1"/>
  <c r="N32" i="18" s="1"/>
  <c r="K24" i="18"/>
  <c r="L24" i="18" s="1"/>
  <c r="N24" i="18" s="1"/>
  <c r="K16" i="18"/>
  <c r="L16" i="18" s="1"/>
  <c r="N16" i="18" s="1"/>
  <c r="K228" i="24"/>
  <c r="L228" i="24" s="1"/>
  <c r="N228" i="24" s="1"/>
  <c r="K220" i="24"/>
  <c r="L220" i="24" s="1"/>
  <c r="N220" i="24" s="1"/>
  <c r="K212" i="24"/>
  <c r="L212" i="24" s="1"/>
  <c r="N212" i="24" s="1"/>
  <c r="K204" i="24"/>
  <c r="L204" i="24" s="1"/>
  <c r="N204" i="24" s="1"/>
  <c r="K196" i="24"/>
  <c r="L196" i="24" s="1"/>
  <c r="N196" i="24" s="1"/>
  <c r="K188" i="24"/>
  <c r="L188" i="24" s="1"/>
  <c r="N188" i="24" s="1"/>
  <c r="K177" i="24"/>
  <c r="L177" i="24" s="1"/>
  <c r="N177" i="24" s="1"/>
  <c r="K169" i="24"/>
  <c r="L169" i="24" s="1"/>
  <c r="N169" i="24" s="1"/>
  <c r="K161" i="24"/>
  <c r="L161" i="24" s="1"/>
  <c r="N161" i="24" s="1"/>
  <c r="K153" i="24"/>
  <c r="L153" i="24" s="1"/>
  <c r="N153" i="24" s="1"/>
  <c r="K145" i="24"/>
  <c r="L145" i="24" s="1"/>
  <c r="N145" i="24" s="1"/>
  <c r="K137" i="24"/>
  <c r="L137" i="24" s="1"/>
  <c r="N137" i="24" s="1"/>
  <c r="K129" i="24"/>
  <c r="L129" i="24" s="1"/>
  <c r="N129" i="24" s="1"/>
  <c r="K118" i="24"/>
  <c r="L118" i="24" s="1"/>
  <c r="N118" i="24" s="1"/>
  <c r="K110" i="24"/>
  <c r="L110" i="24" s="1"/>
  <c r="N110" i="24" s="1"/>
  <c r="K102" i="24"/>
  <c r="L102" i="24" s="1"/>
  <c r="N102" i="24" s="1"/>
  <c r="K91" i="24"/>
  <c r="L91" i="24" s="1"/>
  <c r="N91" i="24" s="1"/>
  <c r="K83" i="24"/>
  <c r="L83" i="24" s="1"/>
  <c r="N83" i="24" s="1"/>
  <c r="K75" i="24"/>
  <c r="L75" i="24" s="1"/>
  <c r="N75" i="24" s="1"/>
  <c r="K64" i="24"/>
  <c r="L64" i="24" s="1"/>
  <c r="N64" i="24" s="1"/>
  <c r="K56" i="24"/>
  <c r="L56" i="24" s="1"/>
  <c r="N56" i="24" s="1"/>
  <c r="K48" i="24"/>
  <c r="L48" i="24" s="1"/>
  <c r="N48" i="24" s="1"/>
  <c r="K40" i="24"/>
  <c r="L40" i="24" s="1"/>
  <c r="N40" i="24" s="1"/>
  <c r="K32" i="24"/>
  <c r="L32" i="24" s="1"/>
  <c r="N32" i="24" s="1"/>
  <c r="K24" i="24"/>
  <c r="B6" i="28" l="1"/>
  <c r="B81" i="28" l="1"/>
  <c r="B82" i="28"/>
  <c r="B119" i="20"/>
  <c r="B111" i="20"/>
  <c r="B107" i="17"/>
  <c r="B99" i="17"/>
  <c r="B169" i="24"/>
  <c r="B56" i="24"/>
  <c r="B32" i="24"/>
  <c r="L115" i="17"/>
  <c r="L121" i="18"/>
  <c r="N121" i="18" s="1"/>
  <c r="K2" i="28" l="1"/>
  <c r="L2" i="28"/>
  <c r="N99" i="17"/>
  <c r="N107" i="17"/>
  <c r="N111" i="20"/>
  <c r="N119" i="20"/>
  <c r="G2" i="28"/>
  <c r="M2" i="28" l="1"/>
  <c r="N127" i="20"/>
  <c r="N103" i="20"/>
  <c r="N95" i="20"/>
  <c r="N87" i="20"/>
  <c r="N79" i="20"/>
  <c r="N71" i="20"/>
  <c r="N63" i="20"/>
  <c r="N52" i="20"/>
  <c r="N44" i="20"/>
  <c r="N36" i="20"/>
  <c r="N28" i="20"/>
  <c r="N20" i="20"/>
  <c r="N131" i="19"/>
  <c r="N123" i="19"/>
  <c r="N115" i="19"/>
  <c r="N107" i="19"/>
  <c r="N99" i="19"/>
  <c r="N91" i="19"/>
  <c r="N79" i="19"/>
  <c r="N71" i="19"/>
  <c r="N63" i="19"/>
  <c r="N55" i="19"/>
  <c r="N43" i="19"/>
  <c r="N35" i="19"/>
  <c r="N27" i="19"/>
  <c r="N115" i="17"/>
  <c r="N91" i="17"/>
  <c r="N83" i="17"/>
  <c r="N72" i="17"/>
  <c r="N64" i="17"/>
  <c r="N56" i="17"/>
  <c r="N48" i="17"/>
  <c r="N37" i="17"/>
  <c r="N29" i="17"/>
  <c r="N21" i="17"/>
  <c r="B52" i="20" l="1"/>
  <c r="B44" i="20"/>
  <c r="B115" i="17" l="1"/>
  <c r="B91" i="17"/>
  <c r="B44" i="28"/>
  <c r="B45" i="28"/>
  <c r="B46" i="28"/>
  <c r="B47" i="28"/>
  <c r="B48" i="28"/>
  <c r="B49" i="28"/>
  <c r="B50" i="28"/>
  <c r="B51" i="28"/>
  <c r="B52"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43" i="28"/>
  <c r="B127" i="20"/>
  <c r="B103" i="20"/>
  <c r="B95" i="20"/>
  <c r="B87" i="20"/>
  <c r="B79" i="20"/>
  <c r="B71" i="20"/>
  <c r="B63" i="20"/>
  <c r="B36" i="20"/>
  <c r="B28" i="20"/>
  <c r="B20" i="20"/>
  <c r="B131" i="19"/>
  <c r="B123" i="19"/>
  <c r="B115" i="19"/>
  <c r="B107" i="19"/>
  <c r="B99" i="19"/>
  <c r="B91" i="19"/>
  <c r="B79" i="19"/>
  <c r="B71" i="19"/>
  <c r="B63" i="19"/>
  <c r="B55" i="19"/>
  <c r="B43" i="19"/>
  <c r="B35" i="19"/>
  <c r="B27" i="19"/>
  <c r="B19" i="19"/>
  <c r="B83" i="17"/>
  <c r="B72" i="17"/>
  <c r="B64" i="17"/>
  <c r="B56" i="17"/>
  <c r="B48" i="17"/>
  <c r="B37" i="17"/>
  <c r="B29" i="17"/>
  <c r="B21" i="17"/>
  <c r="B26" i="28"/>
  <c r="B27" i="28"/>
  <c r="B28" i="28"/>
  <c r="B29" i="28"/>
  <c r="B30" i="28"/>
  <c r="B31" i="28"/>
  <c r="B32" i="28"/>
  <c r="B33" i="28"/>
  <c r="B34" i="28"/>
  <c r="B35" i="28"/>
  <c r="B36" i="28"/>
  <c r="B37" i="28"/>
  <c r="B38" i="28"/>
  <c r="B39" i="28"/>
  <c r="B40" i="28"/>
  <c r="B41" i="28"/>
  <c r="B42" i="28"/>
  <c r="B153" i="18"/>
  <c r="B145" i="18"/>
  <c r="B137" i="18"/>
  <c r="B129" i="18"/>
  <c r="B121" i="18"/>
  <c r="B110" i="18"/>
  <c r="B102" i="18"/>
  <c r="B94" i="18"/>
  <c r="B86" i="18"/>
  <c r="B75" i="18"/>
  <c r="B67" i="18"/>
  <c r="B59" i="18"/>
  <c r="B51" i="18"/>
  <c r="B43" i="18"/>
  <c r="B32" i="18"/>
  <c r="B24" i="18"/>
  <c r="B16" i="18"/>
  <c r="K42" i="28" l="1"/>
  <c r="K41" i="28"/>
  <c r="K40" i="28"/>
  <c r="K39" i="28"/>
  <c r="K38" i="28"/>
  <c r="K37" i="28"/>
  <c r="K36" i="28"/>
  <c r="K35" i="28"/>
  <c r="K34" i="28"/>
  <c r="K33" i="28"/>
  <c r="K32" i="28"/>
  <c r="K31" i="28"/>
  <c r="K30" i="28"/>
  <c r="K29" i="28"/>
  <c r="K28" i="28"/>
  <c r="K27" i="28"/>
  <c r="K26" i="28"/>
  <c r="L42" i="28"/>
  <c r="L41" i="28"/>
  <c r="L40" i="28"/>
  <c r="L39" i="28"/>
  <c r="L38" i="28"/>
  <c r="L37" i="28"/>
  <c r="L36" i="28"/>
  <c r="L35" i="28"/>
  <c r="L34" i="28"/>
  <c r="L33" i="28"/>
  <c r="L32" i="28"/>
  <c r="L31" i="28"/>
  <c r="L30" i="28"/>
  <c r="L29" i="28"/>
  <c r="L28" i="28"/>
  <c r="L27" i="28"/>
  <c r="L26" i="28"/>
  <c r="L54" i="28"/>
  <c r="L53" i="28"/>
  <c r="L52" i="28"/>
  <c r="L51" i="28"/>
  <c r="L50" i="28"/>
  <c r="L49" i="28"/>
  <c r="L48" i="28"/>
  <c r="L47" i="28"/>
  <c r="L46" i="28"/>
  <c r="L45" i="28"/>
  <c r="L44" i="28"/>
  <c r="L43" i="28"/>
  <c r="K54" i="28"/>
  <c r="K53" i="28"/>
  <c r="K52" i="28"/>
  <c r="K51" i="28"/>
  <c r="K50" i="28"/>
  <c r="K49" i="28"/>
  <c r="K48" i="28"/>
  <c r="K47" i="28"/>
  <c r="K46" i="28"/>
  <c r="K45" i="28"/>
  <c r="K44" i="28"/>
  <c r="K43" i="28"/>
  <c r="C54" i="28"/>
  <c r="E54" i="28"/>
  <c r="F54" i="28"/>
  <c r="G54" i="28"/>
  <c r="C53" i="28"/>
  <c r="E53" i="28"/>
  <c r="F53" i="28"/>
  <c r="G53" i="28"/>
  <c r="L68" i="28"/>
  <c r="L67" i="28"/>
  <c r="L66" i="28"/>
  <c r="L65" i="28"/>
  <c r="L64" i="28"/>
  <c r="L63" i="28"/>
  <c r="L62" i="28"/>
  <c r="L61" i="28"/>
  <c r="L60" i="28"/>
  <c r="L59" i="28"/>
  <c r="L58" i="28"/>
  <c r="L57" i="28"/>
  <c r="L56" i="28"/>
  <c r="L55" i="28"/>
  <c r="K68" i="28"/>
  <c r="K67" i="28"/>
  <c r="K66" i="28"/>
  <c r="K65" i="28"/>
  <c r="K64" i="28"/>
  <c r="K63" i="28"/>
  <c r="K62" i="28"/>
  <c r="K61" i="28"/>
  <c r="K60" i="28"/>
  <c r="K59" i="28"/>
  <c r="K58" i="28"/>
  <c r="K57" i="28"/>
  <c r="K56" i="28"/>
  <c r="K55" i="28"/>
  <c r="L82" i="28"/>
  <c r="L81" i="28"/>
  <c r="L80" i="28"/>
  <c r="L79" i="28"/>
  <c r="L78" i="28"/>
  <c r="L77" i="28"/>
  <c r="L76" i="28"/>
  <c r="L75" i="28"/>
  <c r="L74" i="28"/>
  <c r="L73" i="28"/>
  <c r="L72" i="28"/>
  <c r="L71" i="28"/>
  <c r="L70" i="28"/>
  <c r="L69" i="28"/>
  <c r="K82" i="28"/>
  <c r="K81" i="28"/>
  <c r="K80" i="28"/>
  <c r="K79" i="28"/>
  <c r="K78" i="28"/>
  <c r="K77" i="28"/>
  <c r="K76" i="28"/>
  <c r="K75" i="28"/>
  <c r="K74" i="28"/>
  <c r="K73" i="28"/>
  <c r="K72" i="28"/>
  <c r="K71" i="28"/>
  <c r="K70" i="28"/>
  <c r="K69" i="28"/>
  <c r="G33" i="28"/>
  <c r="G41" i="28"/>
  <c r="F30" i="28"/>
  <c r="F38" i="28"/>
  <c r="G35" i="28"/>
  <c r="F32" i="28"/>
  <c r="G29" i="28"/>
  <c r="F26" i="28"/>
  <c r="G32" i="28"/>
  <c r="F37" i="28"/>
  <c r="G34" i="28"/>
  <c r="G42" i="28"/>
  <c r="F31" i="28"/>
  <c r="F39" i="28"/>
  <c r="F40" i="28"/>
  <c r="F42" i="28"/>
  <c r="F28" i="28"/>
  <c r="F29" i="28"/>
  <c r="G27" i="28"/>
  <c r="G28" i="28"/>
  <c r="G36" i="28"/>
  <c r="F33" i="28"/>
  <c r="F41" i="28"/>
  <c r="G37" i="28"/>
  <c r="F34" i="28"/>
  <c r="G31" i="28"/>
  <c r="F36" i="28"/>
  <c r="G30" i="28"/>
  <c r="G38" i="28"/>
  <c r="F27" i="28"/>
  <c r="F35" i="28"/>
  <c r="G39" i="28"/>
  <c r="G40" i="28"/>
  <c r="G82" i="28"/>
  <c r="G74" i="28"/>
  <c r="F71" i="28"/>
  <c r="F79" i="28"/>
  <c r="F81" i="28"/>
  <c r="F69" i="28"/>
  <c r="G75" i="28"/>
  <c r="G81" i="28"/>
  <c r="G73" i="28"/>
  <c r="F72" i="28"/>
  <c r="F80" i="28"/>
  <c r="F73" i="28"/>
  <c r="F75" i="28"/>
  <c r="F77" i="28"/>
  <c r="F78" i="28"/>
  <c r="G80" i="28"/>
  <c r="G72" i="28"/>
  <c r="G79" i="28"/>
  <c r="G70" i="28"/>
  <c r="F74" i="28"/>
  <c r="F82" i="28"/>
  <c r="G78" i="28"/>
  <c r="G69" i="28"/>
  <c r="G76" i="28"/>
  <c r="F70" i="28"/>
  <c r="G77" i="28"/>
  <c r="G71" i="28"/>
  <c r="F76" i="28"/>
  <c r="E81" i="28"/>
  <c r="C79" i="28"/>
  <c r="E82" i="28"/>
  <c r="C80" i="28"/>
  <c r="C81" i="28"/>
  <c r="C82" i="28"/>
  <c r="C75" i="28"/>
  <c r="C76" i="28"/>
  <c r="C77" i="28"/>
  <c r="C78" i="28"/>
  <c r="C51" i="28"/>
  <c r="G44" i="28"/>
  <c r="G52" i="28"/>
  <c r="F49" i="28"/>
  <c r="F43" i="28"/>
  <c r="G45" i="28"/>
  <c r="G43" i="28"/>
  <c r="F50" i="28"/>
  <c r="F51" i="28"/>
  <c r="F45" i="28"/>
  <c r="G50" i="28"/>
  <c r="G51" i="28"/>
  <c r="G46" i="28"/>
  <c r="G47" i="28"/>
  <c r="F44" i="28"/>
  <c r="F52" i="28"/>
  <c r="G48" i="28"/>
  <c r="F48" i="28"/>
  <c r="G49" i="28"/>
  <c r="F46" i="28"/>
  <c r="F47" i="28"/>
  <c r="G62" i="28"/>
  <c r="F59" i="28"/>
  <c r="F67" i="28"/>
  <c r="F55" i="28"/>
  <c r="G68" i="28"/>
  <c r="F65" i="28"/>
  <c r="F58" i="28"/>
  <c r="G63" i="28"/>
  <c r="F60" i="28"/>
  <c r="F68" i="28"/>
  <c r="F61" i="28"/>
  <c r="G56" i="28"/>
  <c r="G64" i="28"/>
  <c r="G57" i="28"/>
  <c r="G65" i="28"/>
  <c r="F62" i="28"/>
  <c r="G58" i="28"/>
  <c r="G66" i="28"/>
  <c r="F63" i="28"/>
  <c r="F57" i="28"/>
  <c r="G59" i="28"/>
  <c r="G67" i="28"/>
  <c r="F56" i="28"/>
  <c r="F64" i="28"/>
  <c r="G60" i="28"/>
  <c r="G61" i="28"/>
  <c r="F66" i="28"/>
  <c r="C74" i="28"/>
  <c r="C34" i="28"/>
  <c r="C30" i="28"/>
  <c r="E29" i="28"/>
  <c r="E33" i="28"/>
  <c r="E37" i="28"/>
  <c r="E41" i="28"/>
  <c r="E30" i="28"/>
  <c r="E34" i="28"/>
  <c r="E38" i="28"/>
  <c r="E42" i="28"/>
  <c r="E27" i="28"/>
  <c r="E31" i="28"/>
  <c r="E35" i="28"/>
  <c r="E39" i="28"/>
  <c r="E26" i="28"/>
  <c r="E28" i="28"/>
  <c r="E32" i="28"/>
  <c r="E36" i="28"/>
  <c r="E40" i="28"/>
  <c r="E72" i="28"/>
  <c r="E76" i="28"/>
  <c r="E80" i="28"/>
  <c r="E73" i="28"/>
  <c r="E77" i="28"/>
  <c r="E69" i="28"/>
  <c r="C70" i="28"/>
  <c r="C69" i="28"/>
  <c r="C73" i="28"/>
  <c r="E70" i="28"/>
  <c r="E74" i="28"/>
  <c r="E78" i="28"/>
  <c r="C71" i="28"/>
  <c r="E71" i="28"/>
  <c r="E75" i="28"/>
  <c r="E79" i="28"/>
  <c r="C72" i="28"/>
  <c r="C41" i="28"/>
  <c r="C37" i="28"/>
  <c r="C33" i="28"/>
  <c r="C29" i="28"/>
  <c r="C50" i="28"/>
  <c r="C46" i="28"/>
  <c r="C42" i="28"/>
  <c r="C38" i="28"/>
  <c r="C43" i="28"/>
  <c r="C47" i="28"/>
  <c r="C40" i="28"/>
  <c r="C36" i="28"/>
  <c r="C32" i="28"/>
  <c r="C28" i="28"/>
  <c r="C49" i="28"/>
  <c r="C45" i="28"/>
  <c r="E44" i="28"/>
  <c r="E48" i="28"/>
  <c r="E52" i="28"/>
  <c r="E45" i="28"/>
  <c r="E49" i="28"/>
  <c r="E43" i="28"/>
  <c r="E46" i="28"/>
  <c r="E50" i="28"/>
  <c r="E47" i="28"/>
  <c r="E51" i="28"/>
  <c r="E58" i="28"/>
  <c r="E62" i="28"/>
  <c r="E66" i="28"/>
  <c r="E59" i="28"/>
  <c r="E63" i="28"/>
  <c r="E67" i="28"/>
  <c r="C59" i="28"/>
  <c r="C63" i="28"/>
  <c r="C62" i="28"/>
  <c r="E56" i="28"/>
  <c r="E60" i="28"/>
  <c r="E64" i="28"/>
  <c r="E68" i="28"/>
  <c r="C56" i="28"/>
  <c r="C60" i="28"/>
  <c r="C64" i="28"/>
  <c r="E57" i="28"/>
  <c r="E61" i="28"/>
  <c r="E65" i="28"/>
  <c r="E55" i="28"/>
  <c r="C57" i="28"/>
  <c r="C61" i="28"/>
  <c r="C65" i="28"/>
  <c r="C58" i="28"/>
  <c r="C55" i="28"/>
  <c r="C26" i="28"/>
  <c r="C39" i="28"/>
  <c r="C35" i="28"/>
  <c r="C31" i="28"/>
  <c r="C27" i="28"/>
  <c r="C48" i="28"/>
  <c r="C44" i="28"/>
  <c r="C52" i="28"/>
  <c r="C68" i="28"/>
  <c r="C67" i="28"/>
  <c r="C66" i="28"/>
  <c r="B3" i="28"/>
  <c r="B4" i="28"/>
  <c r="B5" i="28"/>
  <c r="B7" i="28"/>
  <c r="B8" i="28"/>
  <c r="B9" i="28"/>
  <c r="B10" i="28"/>
  <c r="B11" i="28"/>
  <c r="B12" i="28"/>
  <c r="B13" i="28"/>
  <c r="B14" i="28"/>
  <c r="B15" i="28"/>
  <c r="B16" i="28"/>
  <c r="B17" i="28"/>
  <c r="B18" i="28"/>
  <c r="B20" i="28"/>
  <c r="B21" i="28"/>
  <c r="B22" i="28"/>
  <c r="B23" i="28"/>
  <c r="B24" i="28"/>
  <c r="B25" i="28"/>
  <c r="B2" i="28"/>
  <c r="M66" i="28" l="1"/>
  <c r="M65" i="28"/>
  <c r="M52" i="28"/>
  <c r="M51" i="28"/>
  <c r="M48" i="28"/>
  <c r="M46" i="28"/>
  <c r="M62" i="28"/>
  <c r="M61" i="28"/>
  <c r="M58" i="28"/>
  <c r="M54" i="28"/>
  <c r="M47" i="28"/>
  <c r="M44" i="28"/>
  <c r="M43" i="28"/>
  <c r="M71" i="28"/>
  <c r="M75" i="28"/>
  <c r="M79" i="28"/>
  <c r="M72" i="28"/>
  <c r="M76" i="28"/>
  <c r="M80" i="28"/>
  <c r="M45" i="28"/>
  <c r="M50" i="28"/>
  <c r="M49" i="28"/>
  <c r="M53" i="28"/>
  <c r="M56" i="28"/>
  <c r="M60" i="28"/>
  <c r="M64" i="28"/>
  <c r="M68" i="28"/>
  <c r="M69" i="28"/>
  <c r="M73" i="28"/>
  <c r="M77" i="28"/>
  <c r="M81" i="28"/>
  <c r="M70" i="28"/>
  <c r="M74" i="28"/>
  <c r="M78" i="28"/>
  <c r="M82" i="28"/>
  <c r="M57" i="28"/>
  <c r="M55" i="28"/>
  <c r="M59" i="28"/>
  <c r="M63" i="28"/>
  <c r="M67" i="28"/>
  <c r="M26" i="28"/>
  <c r="M27" i="28"/>
  <c r="M28" i="28"/>
  <c r="M29" i="28"/>
  <c r="M30" i="28"/>
  <c r="M31" i="28"/>
  <c r="M32" i="28"/>
  <c r="M33" i="28"/>
  <c r="M34" i="28"/>
  <c r="M35" i="28"/>
  <c r="M36" i="28"/>
  <c r="M37" i="28"/>
  <c r="M38" i="28"/>
  <c r="M39" i="28"/>
  <c r="M40" i="28"/>
  <c r="M41" i="28"/>
  <c r="M42" i="28"/>
  <c r="B228" i="24"/>
  <c r="B220" i="24"/>
  <c r="B212" i="24"/>
  <c r="B204" i="24"/>
  <c r="B196" i="24"/>
  <c r="B188" i="24"/>
  <c r="B177" i="24"/>
  <c r="B161" i="24"/>
  <c r="B153" i="24"/>
  <c r="B145" i="24"/>
  <c r="B137" i="24"/>
  <c r="B129" i="24"/>
  <c r="B118" i="24"/>
  <c r="B110" i="24"/>
  <c r="B102" i="24"/>
  <c r="B91" i="24"/>
  <c r="B83" i="24"/>
  <c r="B75" i="24"/>
  <c r="B64" i="24"/>
  <c r="B48" i="24"/>
  <c r="B40" i="24"/>
  <c r="N52" i="28" l="1"/>
  <c r="N55" i="28"/>
  <c r="L19" i="28"/>
  <c r="L10" i="28"/>
  <c r="K20" i="28"/>
  <c r="F19" i="28"/>
  <c r="L13" i="28"/>
  <c r="K4" i="28"/>
  <c r="K5" i="28"/>
  <c r="L20" i="28"/>
  <c r="E19" i="28"/>
  <c r="L21" i="28"/>
  <c r="C19" i="28"/>
  <c r="K7" i="28"/>
  <c r="K15" i="28"/>
  <c r="K23" i="28"/>
  <c r="L6" i="28"/>
  <c r="L14" i="28"/>
  <c r="L22" i="28"/>
  <c r="L3" i="28"/>
  <c r="K13" i="28"/>
  <c r="L4" i="28"/>
  <c r="K6" i="28"/>
  <c r="L5" i="28"/>
  <c r="K8" i="28"/>
  <c r="K16" i="28"/>
  <c r="K24" i="28"/>
  <c r="L7" i="28"/>
  <c r="L15" i="28"/>
  <c r="L23" i="28"/>
  <c r="K11" i="28"/>
  <c r="K12" i="28"/>
  <c r="K21" i="28"/>
  <c r="K22" i="28"/>
  <c r="K9" i="28"/>
  <c r="K17" i="28"/>
  <c r="K25" i="28"/>
  <c r="L8" i="28"/>
  <c r="L16" i="28"/>
  <c r="L24" i="28"/>
  <c r="K19" i="28"/>
  <c r="G19" i="28"/>
  <c r="L11" i="28"/>
  <c r="L12" i="28"/>
  <c r="K14" i="28"/>
  <c r="K3" i="28"/>
  <c r="K10" i="28"/>
  <c r="K18" i="28"/>
  <c r="L9" i="28"/>
  <c r="L17" i="28"/>
  <c r="L25" i="28"/>
  <c r="L18" i="28"/>
  <c r="N53" i="28"/>
  <c r="N54" i="28"/>
  <c r="N49" i="28"/>
  <c r="N47" i="28"/>
  <c r="N46" i="28"/>
  <c r="N48" i="28"/>
  <c r="E6" i="28"/>
  <c r="C6" i="28"/>
  <c r="F6" i="28"/>
  <c r="G6" i="28"/>
  <c r="N44" i="28"/>
  <c r="N26" i="28"/>
  <c r="N34" i="28"/>
  <c r="N42" i="28"/>
  <c r="N27" i="28"/>
  <c r="N35" i="28"/>
  <c r="N40" i="28"/>
  <c r="N28" i="28"/>
  <c r="N36" i="28"/>
  <c r="N29" i="28"/>
  <c r="N37" i="28"/>
  <c r="N30" i="28"/>
  <c r="N38" i="28"/>
  <c r="N32" i="28"/>
  <c r="N31" i="28"/>
  <c r="N39" i="28"/>
  <c r="N33" i="28"/>
  <c r="N41" i="28"/>
  <c r="N51" i="28"/>
  <c r="N43" i="28"/>
  <c r="N50" i="28"/>
  <c r="N76" i="28"/>
  <c r="N75" i="28"/>
  <c r="N69" i="28"/>
  <c r="N77" i="28"/>
  <c r="N82" i="28"/>
  <c r="N70" i="28"/>
  <c r="N78" i="28"/>
  <c r="N71" i="28"/>
  <c r="N79" i="28"/>
  <c r="N72" i="28"/>
  <c r="N80" i="28"/>
  <c r="N74" i="28"/>
  <c r="N73" i="28"/>
  <c r="N81" i="28"/>
  <c r="N45" i="28"/>
  <c r="N60" i="28"/>
  <c r="N68" i="28"/>
  <c r="N61" i="28"/>
  <c r="N62" i="28"/>
  <c r="N63" i="28"/>
  <c r="N66" i="28"/>
  <c r="N67" i="28"/>
  <c r="N56" i="28"/>
  <c r="N64" i="28"/>
  <c r="N57" i="28"/>
  <c r="N65" i="28"/>
  <c r="N58" i="28"/>
  <c r="N59" i="28"/>
  <c r="G10" i="28"/>
  <c r="G23" i="28"/>
  <c r="F7" i="28"/>
  <c r="F20" i="28"/>
  <c r="G25" i="28"/>
  <c r="G11" i="28"/>
  <c r="G24" i="28"/>
  <c r="F8" i="28"/>
  <c r="F21" i="28"/>
  <c r="G15" i="28"/>
  <c r="F4" i="28"/>
  <c r="F15" i="28"/>
  <c r="G3" i="28"/>
  <c r="G13" i="28"/>
  <c r="F9" i="28"/>
  <c r="F22" i="28"/>
  <c r="F11" i="28"/>
  <c r="G8" i="28"/>
  <c r="G4" i="28"/>
  <c r="G14" i="28"/>
  <c r="F10" i="28"/>
  <c r="F23" i="28"/>
  <c r="F24" i="28"/>
  <c r="G9" i="28"/>
  <c r="G5" i="28"/>
  <c r="G21" i="28"/>
  <c r="G22" i="28"/>
  <c r="G7" i="28"/>
  <c r="G20" i="28"/>
  <c r="F3" i="28"/>
  <c r="F13" i="28"/>
  <c r="F25" i="28"/>
  <c r="F14" i="28"/>
  <c r="F5" i="28"/>
  <c r="F12" i="28"/>
  <c r="F17" i="28"/>
  <c r="F2" i="28"/>
  <c r="F16" i="28"/>
  <c r="F18" i="28"/>
  <c r="G18" i="28"/>
  <c r="G16" i="28"/>
  <c r="G12" i="28"/>
  <c r="G17" i="28"/>
  <c r="C21" i="28"/>
  <c r="C16" i="28"/>
  <c r="C12" i="28"/>
  <c r="C8" i="28"/>
  <c r="C3" i="28"/>
  <c r="C24" i="28"/>
  <c r="C20" i="28"/>
  <c r="C15" i="28"/>
  <c r="C11" i="28"/>
  <c r="C7" i="28"/>
  <c r="C2" i="28"/>
  <c r="C23" i="28"/>
  <c r="C18" i="28"/>
  <c r="C14" i="28"/>
  <c r="C10" i="28"/>
  <c r="C5" i="28"/>
  <c r="C25" i="28"/>
  <c r="C22" i="28"/>
  <c r="C17" i="28"/>
  <c r="C13" i="28"/>
  <c r="C9" i="28"/>
  <c r="C4" i="28"/>
  <c r="E3" i="28"/>
  <c r="E8" i="28"/>
  <c r="E12" i="28"/>
  <c r="E16" i="28"/>
  <c r="E21" i="28"/>
  <c r="E25" i="28"/>
  <c r="E4" i="28"/>
  <c r="E9" i="28"/>
  <c r="E13" i="28"/>
  <c r="E17" i="28"/>
  <c r="E22" i="28"/>
  <c r="E2" i="28"/>
  <c r="E5" i="28"/>
  <c r="E10" i="28"/>
  <c r="E14" i="28"/>
  <c r="E18" i="28"/>
  <c r="E23" i="28"/>
  <c r="E7" i="28"/>
  <c r="E11" i="28"/>
  <c r="E15" i="28"/>
  <c r="E20" i="28"/>
  <c r="E24" i="28"/>
  <c r="N19" i="19"/>
  <c r="G55" i="28" s="1"/>
  <c r="M19" i="28" l="1"/>
  <c r="M15" i="28"/>
  <c r="M22" i="28"/>
  <c r="M10" i="28"/>
  <c r="M3" i="28"/>
  <c r="M23" i="28"/>
  <c r="M20" i="28"/>
  <c r="M21" i="28"/>
  <c r="M13" i="28"/>
  <c r="M14" i="28"/>
  <c r="M6" i="28"/>
  <c r="M18" i="28"/>
  <c r="M25" i="28"/>
  <c r="M17" i="28"/>
  <c r="M9" i="28"/>
  <c r="M12" i="28"/>
  <c r="M11" i="28"/>
  <c r="M24" i="28"/>
  <c r="M16" i="28"/>
  <c r="M8" i="28"/>
  <c r="M7" i="28"/>
  <c r="M5" i="28"/>
  <c r="M4" i="28"/>
  <c r="I54" i="28"/>
  <c r="I19" i="28"/>
  <c r="I53" i="28"/>
  <c r="I6" i="28"/>
  <c r="G26" i="28"/>
  <c r="H6" i="28" s="1"/>
  <c r="N2" i="28" l="1"/>
  <c r="N19" i="28"/>
  <c r="H54" i="28"/>
  <c r="H53" i="28"/>
  <c r="H82" i="28"/>
  <c r="H19" i="28"/>
  <c r="N6" i="28"/>
  <c r="N9" i="28"/>
  <c r="N17" i="28"/>
  <c r="N25" i="28"/>
  <c r="N10" i="28"/>
  <c r="N18" i="28"/>
  <c r="N16" i="28"/>
  <c r="N11" i="28"/>
  <c r="N20" i="28"/>
  <c r="N8" i="28"/>
  <c r="N3" i="28"/>
  <c r="N12" i="28"/>
  <c r="N21" i="28"/>
  <c r="N4" i="28"/>
  <c r="N13" i="28"/>
  <c r="N22" i="28"/>
  <c r="N5" i="28"/>
  <c r="N14" i="28"/>
  <c r="N23" i="28"/>
  <c r="N7" i="28"/>
  <c r="N15" i="28"/>
  <c r="N24" i="28"/>
  <c r="H8" i="28"/>
  <c r="H80" i="28"/>
  <c r="H48" i="28"/>
  <c r="H73" i="28"/>
  <c r="H13" i="28"/>
  <c r="H52" i="28"/>
  <c r="H25" i="28"/>
  <c r="H39" i="28"/>
  <c r="H16" i="28"/>
  <c r="H3" i="28"/>
  <c r="H28" i="28"/>
  <c r="H5" i="28"/>
  <c r="H29" i="28"/>
  <c r="H30" i="28"/>
  <c r="H26" i="28"/>
  <c r="H69" i="28"/>
  <c r="H18" i="28"/>
  <c r="H9" i="28"/>
  <c r="H27" i="28"/>
  <c r="H43" i="28"/>
  <c r="H70" i="28"/>
  <c r="H22" i="28"/>
  <c r="H45" i="28"/>
  <c r="H11" i="28"/>
  <c r="H68" i="28"/>
  <c r="H44" i="28"/>
  <c r="H36" i="28"/>
  <c r="H63" i="28"/>
  <c r="H42" i="28"/>
  <c r="H2" i="28"/>
  <c r="H31" i="28"/>
  <c r="H20" i="28"/>
  <c r="H37" i="28"/>
  <c r="H72" i="28"/>
  <c r="H67" i="28"/>
  <c r="H61" i="28"/>
  <c r="H78" i="28"/>
  <c r="H51" i="28"/>
  <c r="H46" i="28"/>
  <c r="H41" i="28"/>
  <c r="H74" i="28"/>
  <c r="H7" i="28"/>
  <c r="H17" i="28"/>
  <c r="H76" i="28"/>
  <c r="H21" i="28"/>
  <c r="H57" i="28"/>
  <c r="H24" i="28"/>
  <c r="H40" i="28"/>
  <c r="H34" i="28"/>
  <c r="H14" i="28"/>
  <c r="H4" i="28"/>
  <c r="H62" i="28"/>
  <c r="H47" i="28"/>
  <c r="H55" i="28"/>
  <c r="H65" i="28"/>
  <c r="H60" i="28"/>
  <c r="H32" i="28"/>
  <c r="H50" i="28"/>
  <c r="H56" i="28"/>
  <c r="H23" i="28"/>
  <c r="H77" i="28"/>
  <c r="H79" i="28"/>
  <c r="H66" i="28"/>
  <c r="H59" i="28"/>
  <c r="H49" i="28"/>
  <c r="H35" i="28"/>
  <c r="H12" i="28"/>
  <c r="H38" i="28"/>
  <c r="H64" i="28"/>
  <c r="H81" i="28"/>
  <c r="H15" i="28"/>
  <c r="H71" i="28"/>
  <c r="H75" i="28"/>
  <c r="H10" i="28"/>
  <c r="H33" i="28"/>
  <c r="H58" i="28"/>
  <c r="I81" i="28"/>
  <c r="I82" i="28"/>
  <c r="I80" i="28"/>
  <c r="I56" i="28"/>
  <c r="I30" i="28"/>
  <c r="I2" i="28"/>
  <c r="I70" i="28"/>
  <c r="I28" i="28"/>
  <c r="I77" i="28"/>
  <c r="I69" i="28"/>
  <c r="I61" i="28"/>
  <c r="I51" i="28"/>
  <c r="I43" i="28"/>
  <c r="I76" i="28"/>
  <c r="I68" i="28"/>
  <c r="I60" i="28"/>
  <c r="I50" i="28"/>
  <c r="I42" i="28"/>
  <c r="I34" i="28"/>
  <c r="I26" i="28"/>
  <c r="I52" i="28"/>
  <c r="I35" i="28"/>
  <c r="I75" i="28"/>
  <c r="I67" i="28"/>
  <c r="I59" i="28"/>
  <c r="I49" i="28"/>
  <c r="I41" i="28"/>
  <c r="I33" i="28"/>
  <c r="I73" i="28"/>
  <c r="I39" i="28"/>
  <c r="I72" i="28"/>
  <c r="I46" i="28"/>
  <c r="I79" i="28"/>
  <c r="I63" i="28"/>
  <c r="I45" i="28"/>
  <c r="I29" i="28"/>
  <c r="I78" i="28"/>
  <c r="I44" i="28"/>
  <c r="I27" i="28"/>
  <c r="I74" i="28"/>
  <c r="I66" i="28"/>
  <c r="I58" i="28"/>
  <c r="I48" i="28"/>
  <c r="I40" i="28"/>
  <c r="I32" i="28"/>
  <c r="I65" i="28"/>
  <c r="I57" i="28"/>
  <c r="I47" i="28"/>
  <c r="I31" i="28"/>
  <c r="I64" i="28"/>
  <c r="I38" i="28"/>
  <c r="I71" i="28"/>
  <c r="I55" i="28"/>
  <c r="I37" i="28"/>
  <c r="I62" i="28"/>
  <c r="I36" i="28"/>
  <c r="I4" i="28"/>
  <c r="I11" i="28"/>
  <c r="I24" i="28"/>
  <c r="I14" i="28"/>
  <c r="I25" i="28"/>
  <c r="I15" i="28"/>
  <c r="I21" i="28"/>
  <c r="I10" i="28"/>
  <c r="I7" i="28"/>
  <c r="I22" i="28"/>
  <c r="I16" i="28"/>
  <c r="I8" i="28"/>
  <c r="I12" i="28"/>
  <c r="I18" i="28"/>
  <c r="I20" i="28"/>
  <c r="I3" i="28"/>
  <c r="I17" i="28"/>
  <c r="I23" i="28"/>
  <c r="I9" i="28"/>
  <c r="I5" i="28"/>
  <c r="I13" i="28"/>
  <c r="C163" i="29" l="1"/>
  <c r="C155" i="29"/>
  <c r="C147" i="29"/>
  <c r="C139" i="29"/>
  <c r="C131" i="29"/>
  <c r="C123" i="29"/>
  <c r="C115" i="29"/>
  <c r="C107" i="29"/>
  <c r="C99" i="29"/>
  <c r="C91" i="29"/>
  <c r="C83" i="29"/>
  <c r="K83" i="29" s="1"/>
  <c r="C75" i="29"/>
  <c r="K75" i="29" s="1"/>
  <c r="C67" i="29"/>
  <c r="K67" i="29" s="1"/>
  <c r="C59" i="29"/>
  <c r="K59" i="29" s="1"/>
  <c r="C51" i="29"/>
  <c r="K51" i="29" s="1"/>
  <c r="C43" i="29"/>
  <c r="K43" i="29" s="1"/>
  <c r="C35" i="29"/>
  <c r="K35" i="29" s="1"/>
  <c r="C27" i="29"/>
  <c r="K27" i="29" s="1"/>
  <c r="C19" i="29"/>
  <c r="K19" i="29" s="1"/>
  <c r="C89" i="29"/>
  <c r="K89" i="29" s="1"/>
  <c r="C162" i="29"/>
  <c r="C154" i="29"/>
  <c r="C146" i="29"/>
  <c r="C138" i="29"/>
  <c r="C130" i="29"/>
  <c r="C122" i="29"/>
  <c r="C114" i="29"/>
  <c r="C106" i="29"/>
  <c r="C98" i="29"/>
  <c r="C90" i="29"/>
  <c r="C82" i="29"/>
  <c r="K82" i="29" s="1"/>
  <c r="C74" i="29"/>
  <c r="K74" i="29" s="1"/>
  <c r="C66" i="29"/>
  <c r="K66" i="29" s="1"/>
  <c r="C58" i="29"/>
  <c r="K58" i="29" s="1"/>
  <c r="C50" i="29"/>
  <c r="K50" i="29" s="1"/>
  <c r="C42" i="29"/>
  <c r="K42" i="29" s="1"/>
  <c r="C34" i="29"/>
  <c r="K34" i="29" s="1"/>
  <c r="C26" i="29"/>
  <c r="K26" i="29" s="1"/>
  <c r="C18" i="29"/>
  <c r="K18" i="29" s="1"/>
  <c r="C137" i="29"/>
  <c r="C105" i="29"/>
  <c r="C65" i="29"/>
  <c r="K65" i="29" s="1"/>
  <c r="C25" i="29"/>
  <c r="K25" i="29" s="1"/>
  <c r="C161" i="29"/>
  <c r="C153" i="29"/>
  <c r="C145" i="29"/>
  <c r="C129" i="29"/>
  <c r="C97" i="29"/>
  <c r="C57" i="29"/>
  <c r="K57" i="29" s="1"/>
  <c r="C17" i="29"/>
  <c r="K17" i="29" s="1"/>
  <c r="C159" i="29"/>
  <c r="C151" i="29"/>
  <c r="C143" i="29"/>
  <c r="C135" i="29"/>
  <c r="C127" i="29"/>
  <c r="C119" i="29"/>
  <c r="C111" i="29"/>
  <c r="C103" i="29"/>
  <c r="C95" i="29"/>
  <c r="K95" i="29" s="1"/>
  <c r="C87" i="29"/>
  <c r="K87" i="29" s="1"/>
  <c r="C79" i="29"/>
  <c r="K79" i="29" s="1"/>
  <c r="C71" i="29"/>
  <c r="K71" i="29" s="1"/>
  <c r="C63" i="29"/>
  <c r="K63" i="29" s="1"/>
  <c r="C55" i="29"/>
  <c r="K55" i="29" s="1"/>
  <c r="C47" i="29"/>
  <c r="K47" i="29" s="1"/>
  <c r="C39" i="29"/>
  <c r="K39" i="29" s="1"/>
  <c r="C31" i="29"/>
  <c r="K31" i="29" s="1"/>
  <c r="C23" i="29"/>
  <c r="K23" i="29" s="1"/>
  <c r="C15" i="29"/>
  <c r="K15" i="29" s="1"/>
  <c r="C158" i="29"/>
  <c r="C150" i="29"/>
  <c r="C142" i="29"/>
  <c r="C134" i="29"/>
  <c r="C126" i="29"/>
  <c r="C118" i="29"/>
  <c r="C110" i="29"/>
  <c r="C102" i="29"/>
  <c r="C94" i="29"/>
  <c r="K94" i="29" s="1"/>
  <c r="C86" i="29"/>
  <c r="K86" i="29" s="1"/>
  <c r="C78" i="29"/>
  <c r="K78" i="29" s="1"/>
  <c r="C70" i="29"/>
  <c r="K70" i="29" s="1"/>
  <c r="C62" i="29"/>
  <c r="K62" i="29" s="1"/>
  <c r="C54" i="29"/>
  <c r="K54" i="29" s="1"/>
  <c r="C46" i="29"/>
  <c r="K46" i="29" s="1"/>
  <c r="C38" i="29"/>
  <c r="K38" i="29" s="1"/>
  <c r="C30" i="29"/>
  <c r="K30" i="29" s="1"/>
  <c r="C22" i="29"/>
  <c r="K22" i="29" s="1"/>
  <c r="C81" i="29"/>
  <c r="K81" i="29" s="1"/>
  <c r="C33" i="29"/>
  <c r="K33" i="29" s="1"/>
  <c r="C157" i="29"/>
  <c r="C149" i="29"/>
  <c r="C141" i="29"/>
  <c r="C133" i="29"/>
  <c r="C125" i="29"/>
  <c r="C117" i="29"/>
  <c r="C109" i="29"/>
  <c r="C101" i="29"/>
  <c r="C93" i="29"/>
  <c r="K93" i="29" s="1"/>
  <c r="C85" i="29"/>
  <c r="K85" i="29" s="1"/>
  <c r="C77" i="29"/>
  <c r="K77" i="29" s="1"/>
  <c r="C69" i="29"/>
  <c r="K69" i="29" s="1"/>
  <c r="C61" i="29"/>
  <c r="C53" i="29"/>
  <c r="K53" i="29" s="1"/>
  <c r="C45" i="29"/>
  <c r="K45" i="29" s="1"/>
  <c r="C37" i="29"/>
  <c r="K37" i="29" s="1"/>
  <c r="C29" i="29"/>
  <c r="K29" i="29" s="1"/>
  <c r="C21" i="29"/>
  <c r="K21" i="29" s="1"/>
  <c r="C121" i="29"/>
  <c r="C73" i="29"/>
  <c r="K73" i="29" s="1"/>
  <c r="C49" i="29"/>
  <c r="K49" i="29" s="1"/>
  <c r="C164" i="29"/>
  <c r="C156" i="29"/>
  <c r="C148" i="29"/>
  <c r="C140" i="29"/>
  <c r="C132" i="29"/>
  <c r="C124" i="29"/>
  <c r="C116" i="29"/>
  <c r="C108" i="29"/>
  <c r="C100" i="29"/>
  <c r="C92" i="29"/>
  <c r="K92" i="29" s="1"/>
  <c r="C84" i="29"/>
  <c r="K84" i="29" s="1"/>
  <c r="C76" i="29"/>
  <c r="K76" i="29" s="1"/>
  <c r="C68" i="29"/>
  <c r="K68" i="29" s="1"/>
  <c r="C60" i="29"/>
  <c r="K60" i="29" s="1"/>
  <c r="C52" i="29"/>
  <c r="K52" i="29" s="1"/>
  <c r="C44" i="29"/>
  <c r="C36" i="29"/>
  <c r="K36" i="29" s="1"/>
  <c r="C28" i="29"/>
  <c r="K28" i="29" s="1"/>
  <c r="C20" i="29"/>
  <c r="K20" i="29" s="1"/>
  <c r="C113" i="29"/>
  <c r="C41" i="29"/>
  <c r="K41" i="29" s="1"/>
  <c r="C104" i="29"/>
  <c r="C40" i="29"/>
  <c r="K40" i="29" s="1"/>
  <c r="C160" i="29"/>
  <c r="C96" i="29"/>
  <c r="C32" i="29"/>
  <c r="K32" i="29" s="1"/>
  <c r="C144" i="29"/>
  <c r="C80" i="29"/>
  <c r="K80" i="29" s="1"/>
  <c r="C16" i="29"/>
  <c r="K16" i="29" s="1"/>
  <c r="C56" i="29"/>
  <c r="K56" i="29" s="1"/>
  <c r="C88" i="29"/>
  <c r="K88" i="29" s="1"/>
  <c r="C136" i="29"/>
  <c r="C72" i="29"/>
  <c r="K72" i="29" s="1"/>
  <c r="C64" i="29"/>
  <c r="K64" i="29" s="1"/>
  <c r="C120" i="29"/>
  <c r="C48" i="29"/>
  <c r="K48" i="29" s="1"/>
  <c r="C24" i="29"/>
  <c r="K24" i="29" s="1"/>
  <c r="C128" i="29"/>
  <c r="C112" i="29"/>
  <c r="C152" i="29"/>
  <c r="L68" i="29" l="1"/>
  <c r="L15" i="29"/>
  <c r="F64" i="29"/>
  <c r="E64" i="29"/>
  <c r="D64" i="29"/>
  <c r="B64" i="29" s="1"/>
  <c r="F32" i="29"/>
  <c r="E32" i="29"/>
  <c r="D32" i="29"/>
  <c r="B32" i="29" s="1"/>
  <c r="F28" i="29"/>
  <c r="E28" i="29"/>
  <c r="D28" i="29"/>
  <c r="B28" i="29" s="1"/>
  <c r="F92" i="29"/>
  <c r="E92" i="29"/>
  <c r="D92" i="29"/>
  <c r="B92" i="29" s="1"/>
  <c r="F156" i="29"/>
  <c r="E156" i="29"/>
  <c r="D156" i="29"/>
  <c r="B156" i="29" s="1"/>
  <c r="F45" i="29"/>
  <c r="D45" i="29"/>
  <c r="B45" i="29" s="1"/>
  <c r="E45" i="29"/>
  <c r="F109" i="29"/>
  <c r="E109" i="29"/>
  <c r="D109" i="29"/>
  <c r="B109" i="29" s="1"/>
  <c r="D81" i="29"/>
  <c r="B81" i="29" s="1"/>
  <c r="F81" i="29"/>
  <c r="E81" i="29"/>
  <c r="E78" i="29"/>
  <c r="D78" i="29"/>
  <c r="B78" i="29" s="1"/>
  <c r="F78" i="29"/>
  <c r="E142" i="29"/>
  <c r="D142" i="29"/>
  <c r="B142" i="29" s="1"/>
  <c r="F142" i="29"/>
  <c r="F55" i="29"/>
  <c r="E55" i="29"/>
  <c r="D55" i="29"/>
  <c r="B55" i="29" s="1"/>
  <c r="F119" i="29"/>
  <c r="E119" i="29"/>
  <c r="D119" i="29"/>
  <c r="B119" i="29" s="1"/>
  <c r="D97" i="29"/>
  <c r="B97" i="29" s="1"/>
  <c r="F97" i="29"/>
  <c r="E97" i="29"/>
  <c r="D137" i="29"/>
  <c r="B137" i="29" s="1"/>
  <c r="F137" i="29"/>
  <c r="E137" i="29"/>
  <c r="E74" i="29"/>
  <c r="D74" i="29"/>
  <c r="B74" i="29" s="1"/>
  <c r="F74" i="29"/>
  <c r="E138" i="29"/>
  <c r="D138" i="29"/>
  <c r="B138" i="29" s="1"/>
  <c r="F138" i="29"/>
  <c r="F43" i="29"/>
  <c r="E43" i="29"/>
  <c r="D43" i="29"/>
  <c r="B43" i="29" s="1"/>
  <c r="F107" i="29"/>
  <c r="E107" i="29"/>
  <c r="D107" i="29"/>
  <c r="B107" i="29" s="1"/>
  <c r="F72" i="29"/>
  <c r="E72" i="29"/>
  <c r="D72" i="29"/>
  <c r="B72" i="29" s="1"/>
  <c r="F96" i="29"/>
  <c r="D96" i="29"/>
  <c r="B96" i="29" s="1"/>
  <c r="E96" i="29"/>
  <c r="F36" i="29"/>
  <c r="E36" i="29"/>
  <c r="D36" i="29"/>
  <c r="B36" i="29" s="1"/>
  <c r="F100" i="29"/>
  <c r="E100" i="29"/>
  <c r="D100" i="29"/>
  <c r="B100" i="29" s="1"/>
  <c r="F164" i="29"/>
  <c r="E164" i="29"/>
  <c r="D164" i="29"/>
  <c r="B164" i="29" s="1"/>
  <c r="F53" i="29"/>
  <c r="D53" i="29"/>
  <c r="B53" i="29" s="1"/>
  <c r="E53" i="29"/>
  <c r="F117" i="29"/>
  <c r="D117" i="29"/>
  <c r="B117" i="29" s="1"/>
  <c r="E117" i="29"/>
  <c r="E22" i="29"/>
  <c r="D22" i="29"/>
  <c r="B22" i="29" s="1"/>
  <c r="F22" i="29"/>
  <c r="E86" i="29"/>
  <c r="D86" i="29"/>
  <c r="B86" i="29" s="1"/>
  <c r="F86" i="29"/>
  <c r="E150" i="29"/>
  <c r="D150" i="29"/>
  <c r="B150" i="29" s="1"/>
  <c r="F150" i="29"/>
  <c r="F63" i="29"/>
  <c r="E63" i="29"/>
  <c r="D63" i="29"/>
  <c r="B63" i="29" s="1"/>
  <c r="F127" i="29"/>
  <c r="E127" i="29"/>
  <c r="D127" i="29"/>
  <c r="B127" i="29" s="1"/>
  <c r="D129" i="29"/>
  <c r="B129" i="29" s="1"/>
  <c r="F129" i="29"/>
  <c r="E129" i="29"/>
  <c r="E18" i="29"/>
  <c r="D18" i="29"/>
  <c r="B18" i="29" s="1"/>
  <c r="F18" i="29"/>
  <c r="F82" i="29"/>
  <c r="E82" i="29"/>
  <c r="D82" i="29"/>
  <c r="B82" i="29" s="1"/>
  <c r="E146" i="29"/>
  <c r="F146" i="29"/>
  <c r="D146" i="29"/>
  <c r="B146" i="29" s="1"/>
  <c r="F51" i="29"/>
  <c r="E51" i="29"/>
  <c r="D51" i="29"/>
  <c r="B51" i="29" s="1"/>
  <c r="F115" i="29"/>
  <c r="E115" i="29"/>
  <c r="D115" i="29"/>
  <c r="B115" i="29" s="1"/>
  <c r="F152" i="29"/>
  <c r="E152" i="29"/>
  <c r="D152" i="29"/>
  <c r="B152" i="29" s="1"/>
  <c r="F136" i="29"/>
  <c r="D136" i="29"/>
  <c r="B136" i="29" s="1"/>
  <c r="E136" i="29"/>
  <c r="F160" i="29"/>
  <c r="E160" i="29"/>
  <c r="D160" i="29"/>
  <c r="B160" i="29" s="1"/>
  <c r="F44" i="29"/>
  <c r="E44" i="29"/>
  <c r="D44" i="29"/>
  <c r="B44" i="29" s="1"/>
  <c r="F108" i="29"/>
  <c r="E108" i="29"/>
  <c r="D108" i="29"/>
  <c r="B108" i="29" s="1"/>
  <c r="D49" i="29"/>
  <c r="B49" i="29" s="1"/>
  <c r="F49" i="29"/>
  <c r="E49" i="29"/>
  <c r="F61" i="29"/>
  <c r="D61" i="29"/>
  <c r="B61" i="29" s="1"/>
  <c r="E61" i="29"/>
  <c r="E125" i="29"/>
  <c r="F125" i="29"/>
  <c r="D125" i="29"/>
  <c r="B125" i="29" s="1"/>
  <c r="E30" i="29"/>
  <c r="D30" i="29"/>
  <c r="B30" i="29" s="1"/>
  <c r="F30" i="29"/>
  <c r="E94" i="29"/>
  <c r="D94" i="29"/>
  <c r="B94" i="29" s="1"/>
  <c r="F94" i="29"/>
  <c r="E158" i="29"/>
  <c r="D158" i="29"/>
  <c r="B158" i="29" s="1"/>
  <c r="F158" i="29"/>
  <c r="F71" i="29"/>
  <c r="E71" i="29"/>
  <c r="D71" i="29"/>
  <c r="B71" i="29" s="1"/>
  <c r="F135" i="29"/>
  <c r="E135" i="29"/>
  <c r="D135" i="29"/>
  <c r="B135" i="29" s="1"/>
  <c r="D145" i="29"/>
  <c r="B145" i="29" s="1"/>
  <c r="F145" i="29"/>
  <c r="E145" i="29"/>
  <c r="E26" i="29"/>
  <c r="D26" i="29"/>
  <c r="B26" i="29" s="1"/>
  <c r="F26" i="29"/>
  <c r="K90" i="29"/>
  <c r="E90" i="29"/>
  <c r="D90" i="29"/>
  <c r="B90" i="29" s="1"/>
  <c r="F90" i="29"/>
  <c r="E154" i="29"/>
  <c r="F154" i="29"/>
  <c r="D154" i="29"/>
  <c r="B154" i="29" s="1"/>
  <c r="F59" i="29"/>
  <c r="E59" i="29"/>
  <c r="D59" i="29"/>
  <c r="B59" i="29" s="1"/>
  <c r="F123" i="29"/>
  <c r="E123" i="29"/>
  <c r="D123" i="29"/>
  <c r="B123" i="29" s="1"/>
  <c r="K61" i="29"/>
  <c r="L56" i="29" s="1"/>
  <c r="F112" i="29"/>
  <c r="D112" i="29"/>
  <c r="B112" i="29" s="1"/>
  <c r="E112" i="29"/>
  <c r="F88" i="29"/>
  <c r="E88" i="29"/>
  <c r="D88" i="29"/>
  <c r="B88" i="29" s="1"/>
  <c r="F40" i="29"/>
  <c r="E40" i="29"/>
  <c r="D40" i="29"/>
  <c r="B40" i="29" s="1"/>
  <c r="F52" i="29"/>
  <c r="E52" i="29"/>
  <c r="D52" i="29"/>
  <c r="B52" i="29" s="1"/>
  <c r="F116" i="29"/>
  <c r="E116" i="29"/>
  <c r="D116" i="29"/>
  <c r="B116" i="29" s="1"/>
  <c r="D73" i="29"/>
  <c r="B73" i="29" s="1"/>
  <c r="F73" i="29"/>
  <c r="E73" i="29"/>
  <c r="F69" i="29"/>
  <c r="D69" i="29"/>
  <c r="B69" i="29" s="1"/>
  <c r="E69" i="29"/>
  <c r="F133" i="29"/>
  <c r="D133" i="29"/>
  <c r="B133" i="29" s="1"/>
  <c r="E133" i="29"/>
  <c r="E38" i="29"/>
  <c r="D38" i="29"/>
  <c r="B38" i="29" s="1"/>
  <c r="F38" i="29"/>
  <c r="E102" i="29"/>
  <c r="D102" i="29"/>
  <c r="B102" i="29" s="1"/>
  <c r="F102" i="29"/>
  <c r="F15" i="29"/>
  <c r="E15" i="29"/>
  <c r="D15" i="29"/>
  <c r="B15" i="29" s="1"/>
  <c r="F79" i="29"/>
  <c r="E79" i="29"/>
  <c r="D79" i="29"/>
  <c r="B79" i="29" s="1"/>
  <c r="F143" i="29"/>
  <c r="E143" i="29"/>
  <c r="D143" i="29"/>
  <c r="B143" i="29" s="1"/>
  <c r="D153" i="29"/>
  <c r="B153" i="29" s="1"/>
  <c r="F153" i="29"/>
  <c r="E153" i="29"/>
  <c r="E34" i="29"/>
  <c r="D34" i="29"/>
  <c r="B34" i="29" s="1"/>
  <c r="F34" i="29"/>
  <c r="E98" i="29"/>
  <c r="F98" i="29"/>
  <c r="D98" i="29"/>
  <c r="B98" i="29" s="1"/>
  <c r="F162" i="29"/>
  <c r="E162" i="29"/>
  <c r="D162" i="29"/>
  <c r="B162" i="29" s="1"/>
  <c r="F67" i="29"/>
  <c r="E67" i="29"/>
  <c r="D67" i="29"/>
  <c r="B67" i="29" s="1"/>
  <c r="F131" i="29"/>
  <c r="E131" i="29"/>
  <c r="D131" i="29"/>
  <c r="B131" i="29" s="1"/>
  <c r="F128" i="29"/>
  <c r="E128" i="29"/>
  <c r="D128" i="29"/>
  <c r="B128" i="29" s="1"/>
  <c r="F56" i="29"/>
  <c r="E56" i="29"/>
  <c r="D56" i="29"/>
  <c r="B56" i="29" s="1"/>
  <c r="D104" i="29"/>
  <c r="B104" i="29" s="1"/>
  <c r="F104" i="29"/>
  <c r="E104" i="29"/>
  <c r="F60" i="29"/>
  <c r="E60" i="29"/>
  <c r="D60" i="29"/>
  <c r="B60" i="29" s="1"/>
  <c r="F124" i="29"/>
  <c r="E124" i="29"/>
  <c r="D124" i="29"/>
  <c r="B124" i="29" s="1"/>
  <c r="D121" i="29"/>
  <c r="B121" i="29" s="1"/>
  <c r="F121" i="29"/>
  <c r="E121" i="29"/>
  <c r="F77" i="29"/>
  <c r="D77" i="29"/>
  <c r="B77" i="29" s="1"/>
  <c r="E77" i="29"/>
  <c r="F141" i="29"/>
  <c r="D141" i="29"/>
  <c r="B141" i="29" s="1"/>
  <c r="E141" i="29"/>
  <c r="E46" i="29"/>
  <c r="D46" i="29"/>
  <c r="B46" i="29" s="1"/>
  <c r="F46" i="29"/>
  <c r="E110" i="29"/>
  <c r="D110" i="29"/>
  <c r="B110" i="29" s="1"/>
  <c r="F110" i="29"/>
  <c r="F23" i="29"/>
  <c r="E23" i="29"/>
  <c r="D23" i="29"/>
  <c r="B23" i="29" s="1"/>
  <c r="F87" i="29"/>
  <c r="E87" i="29"/>
  <c r="D87" i="29"/>
  <c r="B87" i="29" s="1"/>
  <c r="F151" i="29"/>
  <c r="E151" i="29"/>
  <c r="D151" i="29"/>
  <c r="B151" i="29" s="1"/>
  <c r="D161" i="29"/>
  <c r="B161" i="29" s="1"/>
  <c r="F161" i="29"/>
  <c r="E161" i="29"/>
  <c r="E42" i="29"/>
  <c r="D42" i="29"/>
  <c r="B42" i="29" s="1"/>
  <c r="F42" i="29"/>
  <c r="E106" i="29"/>
  <c r="D106" i="29"/>
  <c r="B106" i="29" s="1"/>
  <c r="F106" i="29"/>
  <c r="D89" i="29"/>
  <c r="B89" i="29" s="1"/>
  <c r="F89" i="29"/>
  <c r="E89" i="29"/>
  <c r="F75" i="29"/>
  <c r="E75" i="29"/>
  <c r="D75" i="29"/>
  <c r="B75" i="29" s="1"/>
  <c r="F139" i="29"/>
  <c r="E139" i="29"/>
  <c r="D139" i="29"/>
  <c r="B139" i="29" s="1"/>
  <c r="F24" i="29"/>
  <c r="E24" i="29"/>
  <c r="D24" i="29"/>
  <c r="B24" i="29" s="1"/>
  <c r="F16" i="29"/>
  <c r="E16" i="29"/>
  <c r="D16" i="29"/>
  <c r="B16" i="29" s="1"/>
  <c r="D41" i="29"/>
  <c r="B41" i="29" s="1"/>
  <c r="F41" i="29"/>
  <c r="E41" i="29"/>
  <c r="F68" i="29"/>
  <c r="E68" i="29"/>
  <c r="D68" i="29"/>
  <c r="B68" i="29" s="1"/>
  <c r="F132" i="29"/>
  <c r="E132" i="29"/>
  <c r="D132" i="29"/>
  <c r="B132" i="29" s="1"/>
  <c r="F21" i="29"/>
  <c r="D21" i="29"/>
  <c r="B21" i="29" s="1"/>
  <c r="E21" i="29"/>
  <c r="F85" i="29"/>
  <c r="D85" i="29"/>
  <c r="B85" i="29" s="1"/>
  <c r="E85" i="29"/>
  <c r="F149" i="29"/>
  <c r="E149" i="29"/>
  <c r="D149" i="29"/>
  <c r="B149" i="29" s="1"/>
  <c r="E54" i="29"/>
  <c r="D54" i="29"/>
  <c r="B54" i="29" s="1"/>
  <c r="F54" i="29"/>
  <c r="E118" i="29"/>
  <c r="D118" i="29"/>
  <c r="B118" i="29" s="1"/>
  <c r="F118" i="29"/>
  <c r="F31" i="29"/>
  <c r="E31" i="29"/>
  <c r="D31" i="29"/>
  <c r="B31" i="29" s="1"/>
  <c r="F95" i="29"/>
  <c r="E95" i="29"/>
  <c r="D95" i="29"/>
  <c r="B95" i="29" s="1"/>
  <c r="F159" i="29"/>
  <c r="E159" i="29"/>
  <c r="D159" i="29"/>
  <c r="B159" i="29" s="1"/>
  <c r="D25" i="29"/>
  <c r="B25" i="29" s="1"/>
  <c r="F25" i="29"/>
  <c r="E25" i="29"/>
  <c r="E50" i="29"/>
  <c r="D50" i="29"/>
  <c r="B50" i="29" s="1"/>
  <c r="F50" i="29"/>
  <c r="E114" i="29"/>
  <c r="D114" i="29"/>
  <c r="B114" i="29" s="1"/>
  <c r="F114" i="29"/>
  <c r="F19" i="29"/>
  <c r="E19" i="29"/>
  <c r="D19" i="29"/>
  <c r="B19" i="29" s="1"/>
  <c r="F83" i="29"/>
  <c r="E83" i="29"/>
  <c r="D83" i="29"/>
  <c r="B83" i="29" s="1"/>
  <c r="F147" i="29"/>
  <c r="E147" i="29"/>
  <c r="D147" i="29"/>
  <c r="B147" i="29" s="1"/>
  <c r="K44" i="29"/>
  <c r="L39" i="29" s="1"/>
  <c r="F48" i="29"/>
  <c r="E48" i="29"/>
  <c r="D48" i="29"/>
  <c r="B48" i="29" s="1"/>
  <c r="F80" i="29"/>
  <c r="E80" i="29"/>
  <c r="D80" i="29"/>
  <c r="B80" i="29" s="1"/>
  <c r="D113" i="29"/>
  <c r="B113" i="29" s="1"/>
  <c r="F113" i="29"/>
  <c r="E113" i="29"/>
  <c r="F76" i="29"/>
  <c r="E76" i="29"/>
  <c r="D76" i="29"/>
  <c r="B76" i="29" s="1"/>
  <c r="F140" i="29"/>
  <c r="E140" i="29"/>
  <c r="D140" i="29"/>
  <c r="B140" i="29" s="1"/>
  <c r="F29" i="29"/>
  <c r="D29" i="29"/>
  <c r="B29" i="29" s="1"/>
  <c r="E29" i="29"/>
  <c r="F93" i="29"/>
  <c r="D93" i="29"/>
  <c r="B93" i="29" s="1"/>
  <c r="E93" i="29"/>
  <c r="F157" i="29"/>
  <c r="D157" i="29"/>
  <c r="B157" i="29" s="1"/>
  <c r="E157" i="29"/>
  <c r="E62" i="29"/>
  <c r="D62" i="29"/>
  <c r="B62" i="29" s="1"/>
  <c r="F62" i="29"/>
  <c r="E126" i="29"/>
  <c r="D126" i="29"/>
  <c r="B126" i="29" s="1"/>
  <c r="F126" i="29"/>
  <c r="F39" i="29"/>
  <c r="E39" i="29"/>
  <c r="D39" i="29"/>
  <c r="B39" i="29" s="1"/>
  <c r="F103" i="29"/>
  <c r="E103" i="29"/>
  <c r="D103" i="29"/>
  <c r="B103" i="29" s="1"/>
  <c r="D17" i="29"/>
  <c r="B17" i="29" s="1"/>
  <c r="F17" i="29"/>
  <c r="E17" i="29"/>
  <c r="D65" i="29"/>
  <c r="B65" i="29" s="1"/>
  <c r="F65" i="29"/>
  <c r="E65" i="29"/>
  <c r="E58" i="29"/>
  <c r="D58" i="29"/>
  <c r="B58" i="29" s="1"/>
  <c r="F58" i="29"/>
  <c r="F122" i="29"/>
  <c r="E122" i="29"/>
  <c r="D122" i="29"/>
  <c r="B122" i="29" s="1"/>
  <c r="F27" i="29"/>
  <c r="E27" i="29"/>
  <c r="D27" i="29"/>
  <c r="B27" i="29" s="1"/>
  <c r="F91" i="29"/>
  <c r="K91" i="29"/>
  <c r="E91" i="29"/>
  <c r="D91" i="29"/>
  <c r="B91" i="29" s="1"/>
  <c r="F155" i="29"/>
  <c r="E155" i="29"/>
  <c r="D155" i="29"/>
  <c r="B155" i="29" s="1"/>
  <c r="F120" i="29"/>
  <c r="E120" i="29"/>
  <c r="D120" i="29"/>
  <c r="B120" i="29" s="1"/>
  <c r="D144" i="29"/>
  <c r="B144" i="29" s="1"/>
  <c r="F144" i="29"/>
  <c r="E144" i="29"/>
  <c r="F20" i="29"/>
  <c r="E20" i="29"/>
  <c r="D20" i="29"/>
  <c r="B20" i="29" s="1"/>
  <c r="F84" i="29"/>
  <c r="E84" i="29"/>
  <c r="D84" i="29"/>
  <c r="B84" i="29" s="1"/>
  <c r="F148" i="29"/>
  <c r="E148" i="29"/>
  <c r="D148" i="29"/>
  <c r="B148" i="29" s="1"/>
  <c r="F37" i="29"/>
  <c r="D37" i="29"/>
  <c r="B37" i="29" s="1"/>
  <c r="E37" i="29"/>
  <c r="F101" i="29"/>
  <c r="D101" i="29"/>
  <c r="B101" i="29" s="1"/>
  <c r="E101" i="29"/>
  <c r="D33" i="29"/>
  <c r="B33" i="29" s="1"/>
  <c r="F33" i="29"/>
  <c r="E33" i="29"/>
  <c r="E70" i="29"/>
  <c r="D70" i="29"/>
  <c r="B70" i="29" s="1"/>
  <c r="F70" i="29"/>
  <c r="E134" i="29"/>
  <c r="D134" i="29"/>
  <c r="B134" i="29" s="1"/>
  <c r="F134" i="29"/>
  <c r="F47" i="29"/>
  <c r="E47" i="29"/>
  <c r="D47" i="29"/>
  <c r="B47" i="29" s="1"/>
  <c r="F111" i="29"/>
  <c r="E111" i="29"/>
  <c r="D111" i="29"/>
  <c r="B111" i="29" s="1"/>
  <c r="D57" i="29"/>
  <c r="B57" i="29" s="1"/>
  <c r="F57" i="29"/>
  <c r="E57" i="29"/>
  <c r="D105" i="29"/>
  <c r="B105" i="29" s="1"/>
  <c r="F105" i="29"/>
  <c r="E105" i="29"/>
  <c r="E66" i="29"/>
  <c r="D66" i="29"/>
  <c r="B66" i="29" s="1"/>
  <c r="F66" i="29"/>
  <c r="E130" i="29"/>
  <c r="D130" i="29"/>
  <c r="B130" i="29" s="1"/>
  <c r="F130" i="29"/>
  <c r="F35" i="29"/>
  <c r="E35" i="29"/>
  <c r="D35" i="29"/>
  <c r="B35" i="29" s="1"/>
  <c r="F99" i="29"/>
  <c r="E99" i="29"/>
  <c r="D99" i="29"/>
  <c r="B99" i="29" s="1"/>
  <c r="F163" i="29"/>
  <c r="E163" i="29"/>
  <c r="D163" i="29"/>
  <c r="B163" i="29" s="1"/>
  <c r="H16" i="29"/>
  <c r="G16" i="29"/>
  <c r="H15" i="29"/>
  <c r="G15" i="29"/>
  <c r="H42" i="29"/>
  <c r="G42" i="29"/>
  <c r="H72" i="29"/>
  <c r="G72" i="29"/>
  <c r="H34" i="29"/>
  <c r="G34" i="29"/>
  <c r="H61" i="29"/>
  <c r="G61" i="29"/>
  <c r="H97" i="29"/>
  <c r="G97" i="29"/>
  <c r="H135" i="29"/>
  <c r="G135" i="29"/>
  <c r="H27" i="29"/>
  <c r="G27" i="29"/>
  <c r="H47" i="29"/>
  <c r="G47" i="29"/>
  <c r="H101" i="29"/>
  <c r="G101" i="29"/>
  <c r="H110" i="29"/>
  <c r="G110" i="29"/>
  <c r="H130" i="29"/>
  <c r="G130" i="29"/>
  <c r="H162" i="29"/>
  <c r="G162" i="29"/>
  <c r="H57" i="29"/>
  <c r="G57" i="29"/>
  <c r="H74" i="29"/>
  <c r="G74" i="29"/>
  <c r="H121" i="29"/>
  <c r="G121" i="29"/>
  <c r="G151" i="29"/>
  <c r="H151" i="29"/>
  <c r="H37" i="29"/>
  <c r="G37" i="29"/>
  <c r="G91" i="29"/>
  <c r="H91" i="29"/>
  <c r="H140" i="29"/>
  <c r="G140" i="29"/>
  <c r="H38" i="29"/>
  <c r="G38" i="29"/>
  <c r="H63" i="29"/>
  <c r="G63" i="29"/>
  <c r="H79" i="29"/>
  <c r="G79" i="29"/>
  <c r="H117" i="29"/>
  <c r="G117" i="29"/>
  <c r="H137" i="29"/>
  <c r="G137" i="29"/>
  <c r="H161" i="29"/>
  <c r="G161" i="29"/>
  <c r="H88" i="29"/>
  <c r="G88" i="29"/>
  <c r="H77" i="29"/>
  <c r="G77" i="29"/>
  <c r="H17" i="29"/>
  <c r="G17" i="29"/>
  <c r="H50" i="29"/>
  <c r="G50" i="29"/>
  <c r="H102" i="29"/>
  <c r="G102" i="29"/>
  <c r="H112" i="29"/>
  <c r="G112" i="29"/>
  <c r="G131" i="29"/>
  <c r="H131" i="29"/>
  <c r="H30" i="29"/>
  <c r="G30" i="29"/>
  <c r="H60" i="29"/>
  <c r="G60" i="29"/>
  <c r="H76" i="29"/>
  <c r="G76" i="29"/>
  <c r="G127" i="29"/>
  <c r="H127" i="29"/>
  <c r="H153" i="29"/>
  <c r="G153" i="29"/>
  <c r="H40" i="29"/>
  <c r="G40" i="29"/>
  <c r="H93" i="29"/>
  <c r="G93" i="29"/>
  <c r="H144" i="29"/>
  <c r="G144" i="29"/>
  <c r="H41" i="29"/>
  <c r="G41" i="29"/>
  <c r="H65" i="29"/>
  <c r="G65" i="29"/>
  <c r="H81" i="29"/>
  <c r="G81" i="29"/>
  <c r="H118" i="29"/>
  <c r="G118" i="29"/>
  <c r="G143" i="29"/>
  <c r="H143" i="29"/>
  <c r="H109" i="29"/>
  <c r="G109" i="29"/>
  <c r="H142" i="29"/>
  <c r="G142" i="29"/>
  <c r="H56" i="29"/>
  <c r="G56" i="29"/>
  <c r="G103" i="29"/>
  <c r="H103" i="29"/>
  <c r="H114" i="29"/>
  <c r="G114" i="29"/>
  <c r="H145" i="29"/>
  <c r="G145" i="29"/>
  <c r="H33" i="29"/>
  <c r="G33" i="29"/>
  <c r="H62" i="29"/>
  <c r="G62" i="29"/>
  <c r="H78" i="29"/>
  <c r="G78" i="29"/>
  <c r="H133" i="29"/>
  <c r="G133" i="29"/>
  <c r="H164" i="29"/>
  <c r="G164" i="29"/>
  <c r="G43" i="29"/>
  <c r="H43" i="29"/>
  <c r="H100" i="29"/>
  <c r="G100" i="29"/>
  <c r="H146" i="29"/>
  <c r="G146" i="29"/>
  <c r="H44" i="29"/>
  <c r="G44" i="29"/>
  <c r="H67" i="29"/>
  <c r="G67" i="29"/>
  <c r="H83" i="29"/>
  <c r="G83" i="29"/>
  <c r="H120" i="29"/>
  <c r="G120" i="29"/>
  <c r="H149" i="29"/>
  <c r="G149" i="29"/>
  <c r="H53" i="29"/>
  <c r="G53" i="29"/>
  <c r="H136" i="29"/>
  <c r="G136" i="29"/>
  <c r="H23" i="29"/>
  <c r="G23" i="29"/>
  <c r="H26" i="29"/>
  <c r="G26" i="29"/>
  <c r="H104" i="29"/>
  <c r="G104" i="29"/>
  <c r="H148" i="29"/>
  <c r="G148" i="29"/>
  <c r="H36" i="29"/>
  <c r="G36" i="29"/>
  <c r="H64" i="29"/>
  <c r="G64" i="29"/>
  <c r="H80" i="29"/>
  <c r="G80" i="29"/>
  <c r="H134" i="29"/>
  <c r="G134" i="29"/>
  <c r="H18" i="29"/>
  <c r="G18" i="29"/>
  <c r="H52" i="29"/>
  <c r="G52" i="29"/>
  <c r="H111" i="29"/>
  <c r="G111" i="29"/>
  <c r="H147" i="29"/>
  <c r="G147" i="29"/>
  <c r="H45" i="29"/>
  <c r="G45" i="29"/>
  <c r="H69" i="29"/>
  <c r="G69" i="29"/>
  <c r="G87" i="29"/>
  <c r="H87" i="29"/>
  <c r="H122" i="29"/>
  <c r="G122" i="29"/>
  <c r="H150" i="29"/>
  <c r="G150" i="29"/>
  <c r="H20" i="29"/>
  <c r="G20" i="29"/>
  <c r="H108" i="29"/>
  <c r="G108" i="29"/>
  <c r="G35" i="29"/>
  <c r="H35" i="29"/>
  <c r="H22" i="29"/>
  <c r="G22" i="29"/>
  <c r="G59" i="29"/>
  <c r="H59" i="29"/>
  <c r="G115" i="29"/>
  <c r="H115" i="29"/>
  <c r="H28" i="29"/>
  <c r="G28" i="29"/>
  <c r="H29" i="29"/>
  <c r="G29" i="29"/>
  <c r="H89" i="29"/>
  <c r="G89" i="29"/>
  <c r="H105" i="29"/>
  <c r="G105" i="29"/>
  <c r="H116" i="29"/>
  <c r="G116" i="29"/>
  <c r="H152" i="29"/>
  <c r="G152" i="29"/>
  <c r="H46" i="29"/>
  <c r="G46" i="29"/>
  <c r="H66" i="29"/>
  <c r="G66" i="29"/>
  <c r="H84" i="29"/>
  <c r="G84" i="29"/>
  <c r="H138" i="29"/>
  <c r="G138" i="29"/>
  <c r="H21" i="29"/>
  <c r="G21" i="29"/>
  <c r="H58" i="29"/>
  <c r="G58" i="29"/>
  <c r="H113" i="29"/>
  <c r="G113" i="29"/>
  <c r="H155" i="29"/>
  <c r="G155" i="29"/>
  <c r="H49" i="29"/>
  <c r="G49" i="29"/>
  <c r="G71" i="29"/>
  <c r="H71" i="29"/>
  <c r="H92" i="29"/>
  <c r="G92" i="29"/>
  <c r="H123" i="29"/>
  <c r="G123" i="29"/>
  <c r="H154" i="29"/>
  <c r="G154" i="29"/>
  <c r="H128" i="29"/>
  <c r="G128" i="29"/>
  <c r="G19" i="29"/>
  <c r="H19" i="29"/>
  <c r="H32" i="29"/>
  <c r="G32" i="29"/>
  <c r="H90" i="29"/>
  <c r="G90" i="29"/>
  <c r="H106" i="29"/>
  <c r="G106" i="29"/>
  <c r="G119" i="29"/>
  <c r="H119" i="29"/>
  <c r="H156" i="29"/>
  <c r="G156" i="29"/>
  <c r="H48" i="29"/>
  <c r="G48" i="29"/>
  <c r="H68" i="29"/>
  <c r="G68" i="29"/>
  <c r="H85" i="29"/>
  <c r="G85" i="29"/>
  <c r="G139" i="29"/>
  <c r="H139" i="29"/>
  <c r="H24" i="29"/>
  <c r="G24" i="29"/>
  <c r="H82" i="29"/>
  <c r="G82" i="29"/>
  <c r="H129" i="29"/>
  <c r="G129" i="29"/>
  <c r="H157" i="29"/>
  <c r="G157" i="29"/>
  <c r="H54" i="29"/>
  <c r="G54" i="29"/>
  <c r="H73" i="29"/>
  <c r="G73" i="29"/>
  <c r="H95" i="29"/>
  <c r="G95" i="29"/>
  <c r="H125" i="29"/>
  <c r="G125" i="29"/>
  <c r="H160" i="29"/>
  <c r="G160" i="29"/>
  <c r="H99" i="29"/>
  <c r="G99" i="29"/>
  <c r="H25" i="29"/>
  <c r="G25" i="29"/>
  <c r="H39" i="29"/>
  <c r="G39" i="29"/>
  <c r="H98" i="29"/>
  <c r="G98" i="29"/>
  <c r="G107" i="29"/>
  <c r="H107" i="29"/>
  <c r="H124" i="29"/>
  <c r="G124" i="29"/>
  <c r="H159" i="29"/>
  <c r="G159" i="29"/>
  <c r="H51" i="29"/>
  <c r="G51" i="29"/>
  <c r="H70" i="29"/>
  <c r="G70" i="29"/>
  <c r="H94" i="29"/>
  <c r="G94" i="29"/>
  <c r="H141" i="29"/>
  <c r="G141" i="29"/>
  <c r="G31" i="29"/>
  <c r="H31" i="29"/>
  <c r="H86" i="29"/>
  <c r="G86" i="29"/>
  <c r="H132" i="29"/>
  <c r="G132" i="29"/>
  <c r="H158" i="29"/>
  <c r="G158" i="29"/>
  <c r="G55" i="29"/>
  <c r="H55" i="29"/>
  <c r="G75" i="29"/>
  <c r="H75" i="29"/>
  <c r="H96" i="29"/>
  <c r="G96" i="29"/>
  <c r="H126" i="29"/>
  <c r="G126" i="29"/>
  <c r="G163" i="29"/>
  <c r="H163" i="29"/>
  <c r="L82" i="29" l="1"/>
  <c r="I71" i="29"/>
  <c r="I87" i="29"/>
  <c r="I43" i="29"/>
  <c r="I59" i="29"/>
  <c r="I31" i="29"/>
  <c r="I94" i="29"/>
  <c r="I25" i="29"/>
  <c r="I95" i="29"/>
  <c r="I85" i="29"/>
  <c r="I92" i="29"/>
  <c r="I84" i="29"/>
  <c r="I28" i="29"/>
  <c r="I83" i="29"/>
  <c r="I78" i="29"/>
  <c r="I65" i="29"/>
  <c r="I40" i="29"/>
  <c r="I60" i="29"/>
  <c r="I88" i="29"/>
  <c r="I79" i="29"/>
  <c r="I74" i="29"/>
  <c r="I72" i="29"/>
  <c r="I86" i="29"/>
  <c r="I70" i="29"/>
  <c r="I73" i="29"/>
  <c r="I82" i="29"/>
  <c r="I68" i="29"/>
  <c r="I58" i="29"/>
  <c r="I66" i="29"/>
  <c r="I80" i="29"/>
  <c r="I53" i="29"/>
  <c r="I67" i="29"/>
  <c r="I62" i="29"/>
  <c r="I41" i="29"/>
  <c r="I30" i="29"/>
  <c r="I50" i="29"/>
  <c r="I63" i="29"/>
  <c r="I37" i="29"/>
  <c r="I57" i="29"/>
  <c r="I42" i="29"/>
  <c r="I51" i="29"/>
  <c r="I54" i="29"/>
  <c r="I24" i="29"/>
  <c r="I48" i="29"/>
  <c r="I90" i="29"/>
  <c r="I49" i="29"/>
  <c r="I21" i="29"/>
  <c r="I46" i="29"/>
  <c r="I89" i="29"/>
  <c r="I20" i="29"/>
  <c r="I69" i="29"/>
  <c r="I52" i="29"/>
  <c r="I64" i="29"/>
  <c r="I26" i="29"/>
  <c r="I44" i="29"/>
  <c r="I33" i="29"/>
  <c r="I56" i="29"/>
  <c r="I17" i="29"/>
  <c r="I38" i="29"/>
  <c r="I47" i="29"/>
  <c r="I61" i="29"/>
  <c r="I15" i="29"/>
  <c r="I75" i="29"/>
  <c r="I55" i="29"/>
  <c r="I39" i="29"/>
  <c r="I32" i="29"/>
  <c r="I29" i="29"/>
  <c r="I22" i="29"/>
  <c r="I45" i="29"/>
  <c r="I18" i="29"/>
  <c r="I36" i="29"/>
  <c r="I23" i="29"/>
  <c r="I81" i="29"/>
  <c r="I93" i="29"/>
  <c r="I76" i="29"/>
  <c r="I77" i="29"/>
  <c r="I27" i="29"/>
  <c r="I34" i="29"/>
  <c r="I16" i="29"/>
  <c r="I19" i="29"/>
  <c r="I35" i="29"/>
  <c r="I91" i="29"/>
</calcChain>
</file>

<file path=xl/sharedStrings.xml><?xml version="1.0" encoding="utf-8"?>
<sst xmlns="http://schemas.openxmlformats.org/spreadsheetml/2006/main" count="1137" uniqueCount="722">
  <si>
    <t>EVALUACIÓN INDEPENDIENTE SISTEMA DE CONTROL INTERNO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</si>
  <si>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 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</si>
  <si>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Orientaciones Generales</t>
  </si>
  <si>
    <r>
      <t xml:space="preserve">El archivo contiene las siguientes hojas:
 -  </t>
    </r>
    <r>
      <rPr>
        <b/>
        <sz val="11"/>
        <rFont val="Arial Narrow"/>
        <family val="2"/>
      </rPr>
      <t xml:space="preserve">Pestañas por cada uno de los componentes de control interno: </t>
    </r>
    <r>
      <rPr>
        <sz val="10"/>
        <rFont val="Arial Narrow"/>
        <family val="2"/>
      </rPr>
      <t>"Ambiente de Control", "Evaluación de riesgos", "Actividades de control", "Información y Comunicación", y " Actividades de Monitoreo". las cuales cuentan todas con la siguiente estructura:</t>
    </r>
  </si>
  <si>
    <t>Columna</t>
  </si>
  <si>
    <t>Descripción</t>
  </si>
  <si>
    <r>
      <t xml:space="preserve">
</t>
    </r>
    <r>
      <rPr>
        <b/>
        <i/>
        <u/>
        <sz val="9"/>
        <rFont val="Arial Narrow"/>
        <family val="2"/>
      </rPr>
      <t>Lineamiento X:</t>
    </r>
  </si>
  <si>
    <t>Esta columna define los lineamientos generales para cada uno de los componentes del MECI y se asocian los temas específicos que se deben analizar en cada uno.</t>
  </si>
  <si>
    <t>DIMENSIÓN O POLÍTICA DEL MIPG ASOCIADA AL REQUERIMIENTO</t>
  </si>
  <si>
    <t>En esta columna se deben asociar la (las) dimensión (es), así como la (s) política (s) de gestión y desempeño que permiten el desarrollo del tema en la entidad, en el marco del Modelo Integrado de Planeación y Gestión MIPG.</t>
  </si>
  <si>
    <r>
      <t>Evaluación "</t>
    </r>
    <r>
      <rPr>
        <b/>
        <sz val="10"/>
        <rFont val="Arial Narrow"/>
        <family val="2"/>
      </rPr>
      <t>si se encuentra Presente"</t>
    </r>
    <r>
      <rPr>
        <b/>
        <sz val="9"/>
        <rFont val="Arial Narrow"/>
        <family val="2"/>
      </rPr>
      <t xml:space="preserve">
</t>
    </r>
    <r>
      <rPr>
        <sz val="9"/>
        <rFont val="Arial Narrow"/>
        <family val="2"/>
      </rPr>
      <t>Referencia a Procesos, Manuales/Políticas de Operación/Procedimientos/Instructivos u otros desarrollos que den cuente de su aplicación</t>
    </r>
  </si>
  <si>
    <t>Indicar el nombre del proceso, manual, política de operación, procedimiento o instructivo en donde se encuentra documentado y su fuente de consulta.
De acuerdo con lo identificado como resultado de la evaluación del requerimiento, seleccione de la lista desplegable 1, 2 o 3 de acuerdo con las siguientes definiciones:
1 - No existen actividades diseñadas para cubrir el requerimiento. 
2 - Existen actividades diseñadas o en proceso de diseño, pero éstas no se encuentran documentadas en las políticas/procedimientos u otras herramientas
3 - Las actividades se encuentran diseñadas, documentadas y socializadas de acuerdo con el requerimiento.
Nota: Entiendase "diseñada" como aquella actividad que cuenta con un responsable(s), periodicidad (cada cuanto se realiza ), proposito (objetivo), Como se lleva a cabo  (procedimiento), qué pasa con las desviaciones y/o excepciones (producto de su ejecucion) y cuenta con evidencia (documentacion).</t>
  </si>
  <si>
    <t>EVIDENCIA DEL CONTROL</t>
  </si>
  <si>
    <t>No.</t>
  </si>
  <si>
    <t>Relaciona el consecutivo de las evidencias que se identifican en relación con la efectividad del control.</t>
  </si>
  <si>
    <t>Referencia a Análisis y verificaciones en el marco del Comité Institucional de Coordinación de Control Interno</t>
  </si>
  <si>
    <t>Indicar las acciones que se han adelantado para evaluar el estado del Sistema de Control Interno en el marco del Comité Institucional de Coordinación de Control Interno. Acciones entendidas a las modificaciones, actualizaciones y actividades de fortalecimiento del sistema a partir de la normatividad vigente.</t>
  </si>
  <si>
    <t xml:space="preserve">Observaciones de la evaluacion independiente (tener encuenta papel de  líneas de defensa) </t>
  </si>
  <si>
    <t>Indicar las acciones que se han adelantado en el marco de la evaluaciòn independiente (auditoria interna), sobre el estado del Sistema de Control Interno . Acciones entendidas en la evaluación y monitoreo de la efectividad del control, incluyendo el seguimiento a los controles de la primera y segunda linea de defensa.</t>
  </si>
  <si>
    <r>
      <t xml:space="preserve">Evaluación </t>
    </r>
    <r>
      <rPr>
        <b/>
        <sz val="10"/>
        <rFont val="Arial Narrow"/>
        <family val="2"/>
      </rPr>
      <t>"si se encuentra Funcionando"</t>
    </r>
  </si>
  <si>
    <t>Seleccionar de la lista desplegable 1, 2 o 3 de acuerdo con los siguientes criterios y basado en los resultados reportados por la Oficina de Control Interno así:
1 - El control  no opera como está diseñado o bien no está presente (no se ha implementado)
2 - El control opera como está diseñado pero con algunas falencias
3-  El control opera como está diseñado y es efectivo frente al cumplimiento de los objetivos y para evitar la materialización del riesgo.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</si>
  <si>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xml:space="preserve">, permitiéndo definir puntos de mejora a través de los componentes del MECI y </t>
    </r>
    <r>
      <rPr>
        <sz val="10"/>
        <color rgb="FFFF0000"/>
        <rFont val="Arial Narrow"/>
        <family val="2"/>
      </rPr>
      <t>su articulacion</t>
    </r>
    <r>
      <rPr>
        <sz val="10"/>
        <rFont val="Arial Narrow"/>
        <family val="2"/>
      </rPr>
      <t xml:space="preserve"> con las Dimensiones del MIPG.</t>
    </r>
  </si>
  <si>
    <t xml:space="preserve">Clasificación </t>
  </si>
  <si>
    <t>Observaciones del Control</t>
  </si>
  <si>
    <t>Mantenimiento del Control</t>
  </si>
  <si>
    <t>Cuando en el análisis de los requerimientos en los diferentes componentes del MECI se cuente con aspectos evaluados en nivel 3 (presente) y 3 (funcionando).</t>
  </si>
  <si>
    <t>Se encuentra presente y funciona correctamente, por lo tanto se requiere acciones o actividades  dirigidas a su mantenimiento dentro del marco de las lineas de defensa.</t>
  </si>
  <si>
    <t>Oportunidad de Mejora</t>
  </si>
  <si>
    <t>Cuando en el análisis de los requerimientos en los diferentes componentes del MECI se cuente con aspectos evaluados en nivel 2 (presente) y 3 (funcionando).</t>
  </si>
  <si>
    <t xml:space="preserve"> Se encuentra presente  y funcionando, pero requiere mejoras frente a su diseño, ya que  opera de manera efectiva
</t>
  </si>
  <si>
    <t>Deficiencia de Control
(Diseño o Ejecución)</t>
  </si>
  <si>
    <t>Cuando en el análisis de los requerimientos en los diferentes componentes del MECI se cuente con aspectos evaluados en nivel 2 (presente) y 2 (funcionando); 3 (presente) y 1 (funcionando); 3 (presente) y 2 (funcionando); 2 (presente) y 1 (funcionando)</t>
  </si>
  <si>
    <t>Se encuentra presente y funcionando, pero requiere acciones dirigidas a fortalecer  o mejorar su diseño y/o ejecucion.</t>
  </si>
  <si>
    <t>Deficiencia de Control Mayor
(Diseño y Ejecución)</t>
  </si>
  <si>
    <t>Cuando en el análisis de los requerimientos en los diferentes componentes del MECI se cuente con aspectos evaluados en nivel 1 (presente) y 1 (funcionando);1 (presente) y 2 (funcionando); 1(presente) y 3 (funcionando).</t>
  </si>
  <si>
    <t>No se encuentra presente  por lo tanto no esta funcionando, lo que hace que se requieran acciones dirigidas a fortalecer su diseño y puesta en marcha</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</si>
  <si>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definiendo puntos de mejora a través de los componentes del MECI y su relación con las Dimensiones del MIPG.</t>
    </r>
  </si>
  <si>
    <r>
      <t xml:space="preserve"> -</t>
    </r>
    <r>
      <rPr>
        <sz val="11"/>
        <rFont val="Arial Narrow"/>
        <family val="2"/>
      </rPr>
      <t xml:space="preserve"> </t>
    </r>
    <r>
      <rPr>
        <b/>
        <sz val="11"/>
        <rFont val="Arial Narrow"/>
        <family val="2"/>
      </rPr>
      <t>Definiciones:</t>
    </r>
    <r>
      <rPr>
        <sz val="11"/>
        <rFont val="Arial Narrow"/>
        <family val="2"/>
      </rPr>
      <t xml:space="preserve"> A</t>
    </r>
    <r>
      <rPr>
        <sz val="10"/>
        <rFont val="Arial Narrow"/>
        <family val="2"/>
      </rPr>
      <t>lgunos términos asociados a con control interno y utilizados en diferentes partes del formato.</t>
    </r>
  </si>
  <si>
    <t>Términos y Definiciones</t>
  </si>
  <si>
    <t>Término</t>
  </si>
  <si>
    <t>Actividad de control</t>
  </si>
  <si>
    <t>Acciones establecidas en los procesos, políticas, procedimientos u otras herramientas que permiten que se lleven a cabo las instrucciones de la Administración para mitigar los riesgos relacionados con el logro de los objetivos. Las Actividades de Control son un Componente del Control Interno.</t>
  </si>
  <si>
    <t>Alta Dirección</t>
  </si>
  <si>
    <t>Comprende los empleos del Nivel Directivo a los cuales corresponden funciones de dirección general, de formulación de políticas institucionales y de adopción de planes, programas y proyectos. (Decreto 770 de 2005)</t>
  </si>
  <si>
    <t>Ambiente de control</t>
  </si>
  <si>
    <t>El ambiente de control establece el tono de una organización. Es la base de los otros componentes del control interno pues define los valores y principios con los cuales se rige la entidad e influye en la conciencia de los servidores sobre la forma en que se deben llevar a cabo las operaciones.</t>
  </si>
  <si>
    <t>Comité Institucional de Coordinación de Control Interno</t>
  </si>
  <si>
    <t>Instancia del más alto nivel jerárquico, creado como órgano asesor e instancia decisora en los asuntos de control interno, de oblgatoria conformación para todas las entidades estatales. (Ley 87 de 1993, art 13 y Decreto 648 de 2017).</t>
  </si>
  <si>
    <t>Comité Institucional de Gestión y Desempeño</t>
  </si>
  <si>
    <t>Instancia del más alto nivel jerárquico, encargado de orientar la implementación y operación del Modelo Integrado de Planeación y Gestión MIPG, de oblgatoria conformación para todas las entidades estatales. (Decreto 1499 de 2017).</t>
  </si>
  <si>
    <t>Componente</t>
  </si>
  <si>
    <t>Uno de los cinco elementos del Modelo Estándar de Control Interno MECI.</t>
  </si>
  <si>
    <t>Conflicto de interés</t>
  </si>
  <si>
    <t>Situación en la cual un auditor interno, que ocupa un puesto de confianza, tiene interés personal o profesional en competencia con otros intereses. Tales intereses pueden hacerle difícil el cumplimiento imparcial de sus tareas. (Tomado de las Normas Internacionales de Auditoría Interna Norma 1120)
En el sector público el conflicto de interés existe cuando el interés personal de quien ejerce una función pública colisiona con los deberes y obligaciones del cargo que desempeña. (Guía Conflictos de Interés de Servidores Públicos. Función Pública. 2018).</t>
  </si>
  <si>
    <t>Control Interno</t>
  </si>
  <si>
    <t>Estructura de procesos, políticas, procedimientos, manuales y otras herramientas diseñadas por la entidad para proporcionar seguridad razonable de que los objetivos y metas se alcanzarán y que los eventos no deseados se evitaran o bien se detectaran y corregirán.</t>
  </si>
  <si>
    <t>Control interno efectivo</t>
  </si>
  <si>
    <t>El Sistema de Control Interno para que sea efectivo requiere que cada uno de los cinco componentes del MECI y sus lineamientos, estén presentes, funcionando y operando de manera articulada con el MIPG.</t>
  </si>
  <si>
    <t>Controles generales de TI</t>
  </si>
  <si>
    <t>Actividades de control que ayudan a asegurar la apropiada operación de la tecnología, incluyen los controles sobre la infraestructura de tecnología, seguridad de la información, adquisición de tecnología  su desarrollo y mantenimiento.</t>
  </si>
  <si>
    <t>Corrupción</t>
  </si>
  <si>
    <t>Posibilidad de que por acción u omisión, se use el poder para desviar la gestión de lo público hacia un beneficio privado.  (Secretaría de Transparencia)</t>
  </si>
  <si>
    <t>COSO</t>
  </si>
  <si>
    <t>Committe of Sponsoring Organizations of the Treadway Commission (por sus siglas en inglés). COSO es una iniciativa conjunta de cinco organizaciones del sector privado y se dedica a liderar el desarrollo de marcos y guías en control interno y gestión de riesgos.</t>
  </si>
  <si>
    <t>Cumplimiento</t>
  </si>
  <si>
    <t>Esta relacionado con el cumplimiento a las leyes y regulaciones aplicables a la Entidad.</t>
  </si>
  <si>
    <t>Deficiencia de control</t>
  </si>
  <si>
    <t xml:space="preserve">Es una falla con respecto a un control particular o actividad de control. </t>
  </si>
  <si>
    <t>Deficiencia del Sistema de control interno</t>
  </si>
  <si>
    <t>Se asocia a fallas o brechas en un componente o componentes y sus lineamientos que tiene la capacidad para generar riesgos.</t>
  </si>
  <si>
    <t>Evaluación de Riesgos</t>
  </si>
  <si>
    <t>Proceso que permite a cada entidad identificar, analizar y administrar riesgos relevantes para el logro de sus objetivos.</t>
  </si>
  <si>
    <t>Evaluaciones continuas</t>
  </si>
  <si>
    <t>Corresponden a actividades (manuales o automáticas) que sirven para monitorear la efectividad del control interno en el día a día de las operaciones. Estas evaluaciones incluyen actos regulares de administración, comparaciones, conciliaciones y otras acciones rutinarias.</t>
  </si>
  <si>
    <t>Evaluaciones separadas</t>
  </si>
  <si>
    <t>Incluye autoevaluaciones, en las que las personas responsables por una unidad o función particular (2a línea de defensa) determinan la efectividad de los controles para sus actividades clave para el logro de los objetivos institucionales.
Así mismo, se incluyen las evaluaciones realizadas por las Auditorías (interna y externa).</t>
  </si>
  <si>
    <t>Funcionando</t>
  </si>
  <si>
    <t>La determinación que los componentes y lineamientos son aplicados de forma sistemática como han sido diseñados y es posible analizar su efectividad para evitar la materialización de riesgos, mediante el contraste de información relevante.</t>
  </si>
  <si>
    <t>Integridad</t>
  </si>
  <si>
    <t>El economista estadounidense Anthony Downs “la integridad consiste en la coherencia entre las declaraciones y las realizaciones[1]”, entendiéndose esta como una característica personal, que en el sector público también se refiere al cumplimiento de la promesa que cada servidor le hace al Estado y a la ciudadanía de ejercer a cabalidad su labor. (Tomado micrositio MIPG, Dimensión Talento Humano).</t>
  </si>
  <si>
    <t>Lineamiento</t>
  </si>
  <si>
    <t>Especificaciones fundamentales asociadas a cada uno de los componentes del MECI que permitirán establecer la efectividad del Sistema de Control Interno.</t>
  </si>
  <si>
    <t xml:space="preserve">Mantenimieto del Control </t>
  </si>
  <si>
    <t xml:space="preserve">Verificar periodicamente el control y ante cambios en el entorno externo o interno realizar los ajustes correspondientes o incluir un nuevo control </t>
  </si>
  <si>
    <t>Mapa de riesgos</t>
  </si>
  <si>
    <t>Herramiento cualitativa que permite identificar los riesgos de la organización en el cual se presenta una descripción de cada uno de ellos y su tratamiento.</t>
  </si>
  <si>
    <t>Hallazgo en el cual sí existe un cumplimiento, pero a pesar de ello se determina, bajo criterios objetivos, que existe un margen de mejora para optimizar más una actividad, tarea o proceso concreto.</t>
  </si>
  <si>
    <t>Política</t>
  </si>
  <si>
    <t>Declaración emitida por la administración acerca de lo que debe hacerse para el control. Las políticas son la base para la definición de procedimientos.</t>
  </si>
  <si>
    <t>Presente</t>
  </si>
  <si>
    <t>La determinación que existen en diseño e implementación de los requerimientos asociados a las políticas de gestión y desempeño.</t>
  </si>
  <si>
    <t>Procedimiento</t>
  </si>
  <si>
    <t>Actividades desagregadas que implementan una política o determinan acciones concretas para la consecución de un objetivo o meta.</t>
  </si>
  <si>
    <t>Reporte</t>
  </si>
  <si>
    <t>Información suministrada por diferentes instancias de la entidad, que incluye datos internos y externos, así como información financiera y no financiera, necesaria para la toma de decisiones.</t>
  </si>
  <si>
    <t>Riesgo</t>
  </si>
  <si>
    <t>La posibilidad de que un evento ocurra y afecte de manera adversa el logro de los objetivos.</t>
  </si>
  <si>
    <t>Riesgo inherente</t>
  </si>
  <si>
    <t xml:space="preserve">El riesgo frente al logro de los objetivos en ausencia de cualquier acción por parte de la administración para afectar el impacto o probabilidad de dicho riesgo. </t>
  </si>
  <si>
    <t>Riesgo residual</t>
  </si>
  <si>
    <t>El riesgo frente al logro de los objetivos que permanece una vez la respuesta al riesgo ha sido diseñada e implementada por parte de la administración.</t>
  </si>
  <si>
    <t>Segregación de Funciones</t>
  </si>
  <si>
    <t>Se refiere a la asignación de las responsabilidades con diferentes niveles de autorización con el fin de reducir errores o posibles situaciones de corrupción durante el normal desarrollo de sus funciones.</t>
  </si>
  <si>
    <t>Seguridad razonable</t>
  </si>
  <si>
    <t>Determina que no importa que tan bien esté diseñado e implementado el control interno, no se puede garantizar que los objetivos de la entidad se van a cumplir. Esto por las limitaciones inherentes de todo Sistemas de Control Interno.</t>
  </si>
  <si>
    <t xml:space="preserve">Evaluación Independiente </t>
  </si>
  <si>
    <t xml:space="preserve">Se entiende como las prácticas de examen al control interno y ejercicio de auditoría llevadas a cabo por la oficina de control interno o quien haga sus veces, teniendo en cuenta las normas de auditoria generalmente aceptadas. </t>
  </si>
  <si>
    <t>Lineas de Defensa</t>
  </si>
  <si>
    <t>Esquema de asignación de responsabilidades, adaptada del Modelo de las 3 Líneas de Defensa” del Instituto de Auditores, el cual proporciona una manera simple y efectiva para mejorar las comunicaciones en la gestión de riesgos y control mediante la aclaración de las funciones y deberes esenciales relacionados, que permiten contar con diferentes niveles para el control.</t>
  </si>
  <si>
    <t>AMBIENTE DE CONTROL</t>
  </si>
  <si>
    <t>La entidad debe asegurar un ambiente de control que le permita disponer de las condiciones mínimas para el ejercicio del control interno. Esto se logra con el compromiso, liderazgo y los lineamientos de la alta dirección y del Comité Institucional de Coordinación de Control Interno. El Ambiente de Control es el fundamento de todos los demás componentes del control interno, se incluyen la integridad y valores éticos, la competencia (capacidad) de los servidores de la entidad; la manera en que la Alta Dirección asigna autoridad y responsabilidad, así como también el direccionamiento estratégico definido.</t>
  </si>
  <si>
    <t>ID</t>
  </si>
  <si>
    <t>Lineamiento 1: 
La entidad demuestra el compromiso con la integridad (valores) y principio+I186+C21:I31+I186+C21:I31+C21:I31+C21:I31</t>
  </si>
  <si>
    <r>
      <t xml:space="preserve">Explicación de cómo la Entidad </t>
    </r>
    <r>
      <rPr>
        <b/>
        <u/>
        <sz val="11"/>
        <color theme="0"/>
        <rFont val="Arial Narrow"/>
        <family val="2"/>
      </rPr>
      <t>evidencia</t>
    </r>
    <r>
      <rPr>
        <b/>
        <sz val="11"/>
        <color theme="0"/>
        <rFont val="Arial Narrow"/>
        <family val="2"/>
      </rPr>
      <t xml:space="preserve"> que está dando respuesta al requerimiento
</t>
    </r>
    <r>
      <rPr>
        <sz val="11"/>
        <color theme="0"/>
        <rFont val="Arial Narrow"/>
        <family val="2"/>
      </rPr>
      <t>Referencia a Procesos, Manuales/Políticas+C21:I31n/Procedimientos/Instructivos u otros desarrollos que den cuente de su aplicación</t>
    </r>
  </si>
  <si>
    <r>
      <t xml:space="preserve">Explicación de cómo la Entidad </t>
    </r>
    <r>
      <rPr>
        <b/>
        <u/>
        <sz val="11"/>
        <color theme="0"/>
        <rFont val="Arial Narrow"/>
        <family val="2"/>
      </rPr>
      <t>evidencia</t>
    </r>
    <r>
      <rPr>
        <b/>
        <sz val="11"/>
        <color theme="0"/>
        <rFont val="Arial Narrow"/>
        <family val="2"/>
      </rPr>
      <t xml:space="preserve"> 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</si>
  <si>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</si>
  <si>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t xml:space="preserve">EVIDENCIA DEL CONTROL </t>
  </si>
  <si>
    <r>
      <t xml:space="preserve">Funcionando 
</t>
    </r>
    <r>
      <rPr>
        <i/>
        <sz val="11"/>
        <color theme="0"/>
        <rFont val="Arial Narrow"/>
        <family val="2"/>
      </rPr>
      <t>(1/2/3)</t>
    </r>
  </si>
  <si>
    <t xml:space="preserve">Evaluación </t>
  </si>
  <si>
    <t>EJEMPLO</t>
  </si>
  <si>
    <t xml:space="preserve"> Aplicación del Código de Integridad. (incluye análisis de desviaciones, convivencia laboral, temas disciplinarios internos, quejas o denuncias sobres los servidores de la entidad, u otros temas relacionados).</t>
  </si>
  <si>
    <t>Dimensión Talento Humano
Política Integridad</t>
  </si>
  <si>
    <t>Se implementó el Código de Integridad acorde con el esquema definido de 5 valores y sus lineamientos de conducta y se desarrollaron ejercicios internos con talleres para la socialización e interiorización a todos los servidores y contratistas de la entidad.</t>
  </si>
  <si>
    <t xml:space="preserve">Seguimiento al cumplimiento de la elaboracion y socializacion del Código de Integridad, con base en el informe presentando por la segunda linea de defensa (cuando aplique). </t>
  </si>
  <si>
    <t xml:space="preserve"> Se llevo a cabo un seguimiento a lo dispuesto en el marco del Comité Institucional de Coordinaciòn de Control Intenro, donde se determino la necesidad de estructurar el codigo de integridad siguiendo la metodologia de Funciòn Pùblica, para ello se delego como responsable del mismo al Secretario General.
Se encontro que se realizaron ejercicios ludicos y participativos para la construccion de los 5 valores institucionales, cada mes se  hacen campañas de interiorizacion de los mismo al personal de la entidad, teniendo como evidencia el compromiso de los funcionarios con el horario laboral, una reduccion del ausentismo asi como un bajo porcentaje de quejas por parte de los ciudadanos.
Por otra parte, se realiza seguimiento mensual por parte del Secretario General al cumplimiento de las actividades propuestas en el cronograma.</t>
  </si>
  <si>
    <t>En el marco del Comité Institucional de Control Interno bimensualmente se contrastan quejas internas y externas sobre situaciones irregulares.</t>
  </si>
  <si>
    <t>Se han analizado los temas más críticos acerca en relación con el ausentismo, acoso laboral, solicitudes de traslado y rotación del personal.</t>
  </si>
  <si>
    <t>1.1 Aplicación del Código de Integridad. (incluye análisis de desviaciones, convivencia laboral, temas disciplinarios internos, quejas o denuncias sobres los servidores de la entidad, u otros temas relacionados).</t>
  </si>
  <si>
    <r>
      <t xml:space="preserve">En el proceso de Gestión del Talento Humano, se encuentra documentado el Código de Integridad  el cual contempla la definición de Valores del Servicio Público (Honestidad, Respeto, Compromiso, Diligencia y Justicia), describiendo en cada uno, una lista de principios de acción "Lo que hago", "Lo que no hago"  que orientan la integridad de nuestro comportamiento como Servidores Públicos del Estado. Ver: https://www1.funcionpublica.gov.co/web/eva/codigo-integridad; https://www.funcionpublica.gov.co/eva/admon/files/empresas/ZW1wcmVzYV83Ng==/archivos/1517414936_105d3c200c8f5183bb63f0ea7de844fa.pdf
</t>
    </r>
    <r>
      <rPr>
        <sz val="11"/>
        <color theme="4"/>
        <rFont val="Arial Narrow"/>
        <family val="2"/>
      </rPr>
      <t xml:space="preserve">
Del mismo modo la entidad cuenta la Resolución 823 del 10 de Octubre de 2024, “Por la cual se convoca y se fija el procedimiento de elección de los representantes de los servidores públicos ante el Comité de Convivencia Laboral del Departamento Administrativo de la Función Pública para el periodo 2024 – 2026.” el cual desarrollo el proceso de elecciones para el periodo 2024 - 2026, actualmente vigente y en funcionamiento.</t>
    </r>
  </si>
  <si>
    <t>Se realizó el 27 de junio de 2025 Comité de Coordinación de Control Interno</t>
  </si>
  <si>
    <r>
      <t xml:space="preserve">Con la aplicación del test de integridad realizado durante el mes de mayo, el nivel de apropiación de los valores del servicio obtenido por parte de los funcionarios(as) y contratistas se encuentra entre el 75 y 100%.
Ejecución de actividades al Plan de Integridad 2025 de las actividades programadas 17  fueron ejecutadas 4 para un cumplimiento del 23,5%, siendo realizadas las siguientes actividades:
Formulación del plan de Integridad en la vigencia 2025.
Participar en las estrategias de Integridad convocadas por el distrito.
Socialización del código de integridad por medio de la actividad del mes del niño por medio de concurso dirigido a los hijos(as) de los funcionarios(as). Resultado de esta actividad es la entrega de pases dobles para el parque Mundo Aventura.
</t>
    </r>
    <r>
      <rPr>
        <sz val="11"/>
        <color theme="4"/>
        <rFont val="Arial Narrow"/>
        <family val="2"/>
      </rPr>
      <t xml:space="preserve">De acuerdo al reporte en el sistema de carpetas compartidas durante el 2025, se realizaron seis (6) aperturas de indagación de acuerdo al procedimiento establecido. </t>
    </r>
    <r>
      <rPr>
        <sz val="11"/>
        <color theme="1"/>
        <rFont val="Arial Narrow"/>
        <family val="2"/>
      </rPr>
      <t xml:space="preserve">
En el Comité de Control Interno realizado en el mes de junio se presentó el estado de la implementación del código de integridad y conflicto de interés 
</t>
    </r>
  </si>
  <si>
    <t>No se encontró tratamiento del tema de código de Integridad durante los Comités Directivos, ni de Gestión y Desempeño Institucional durante la vigencia 2025</t>
  </si>
  <si>
    <t xml:space="preserve">Para el tercer comité institucional de corrdinación de control interno se presentó el avace en la implmentación del código de Intergridad </t>
  </si>
  <si>
    <t xml:space="preserve">Se realizó una encuesta de apropiación de los valores en el mes de mayo en la cual participaron 75 personas entre funcionarios y contratistas </t>
  </si>
  <si>
    <t xml:space="preserve">1.2 Mecanismos para el manejo de conflictos de interés. </t>
  </si>
  <si>
    <t>El Departamento cuenta con un documento: Guía para la identificación y declaración del conflicto de intereses en el sector público colombiano, el cual se encuentra contenido en el módulo de Integridad de Cómo Opera MIPG.  Ver: https://www1.funcionpublica.gov.co/web/mipg/como-opera-mipg
En cumplimiento en la Ley 2013 de 2019, la entidad como líder de la política de Talento Humano diseñó el aplicativo para la integridad pública, con el fin que los servidores públicos de altos cargos del Estado, contratistas y demás sujetos obligados, declaren sus bienes y rentas e impuesto sobre la renta y complementarios y sus conflictos de interés; además, puso a su disposición la estrategia para la gestión preventiva de conflicto de intereses. Ver: 
https://www.funcionpublica.gov.co/fdci/</t>
  </si>
  <si>
    <t>El documento: Guía para la identificación y declaración del conflicto de intereses en el sector público colombiano, se encuentra desactualizado, se recomienda revisar la pertinencia de actualizar dicho documento, dado que se observa que la fecha de actualización: fue el pasado 02 de agosto de 2019
Desde Talento Humano informaron a todos los funcionarios(as) el deber de reportar y actualizar sus bienes, rentas y conflictos de interés entre el 01 de junio y el 31 de julio de cada vigencia. Para esto, desde Talento Humano y Comunicaciones se han enviado de manera periódica correos en los que se insta a la comunidad IDPAC sobre la importancia del cumplimiento de este deber legal con la Administración Pública Distrital.
Talento humano informó que no se han presentado o reportado casos de conflictos de interés en la entidad, por medio de la plataforma SIDEAP.</t>
  </si>
  <si>
    <t>No se pudo evidenciar tratamiento del tema de conflicto de interés durante los Comités Directivos, ni de Gestión y Desempeño Institucional de la vigencia 2025</t>
  </si>
  <si>
    <t>1.3 Mecanismos frente a la detección y prevención del uso inadecuado de información privilegiada u otras situaciones que puedan implicar riesgos para la entidad.</t>
  </si>
  <si>
    <t>Dimensión Información y Comunicación
Política Transparencia y Acceso a la Información Pública
Política Gestión Documental</t>
  </si>
  <si>
    <t xml:space="preserve">En cumplimiento de la Ley 1712 de 2014 y la Directiva 006 de la Procuraduría General de la Nación, la entidad ha adoptado los instrumentos de información pública y acceso de información, específicamente en lo relacionado con la información clasificada y reservada, Información mínima requerida a publicar y registro de activos de información, la cual se puede evidenciar en el siguiente enlace: https://www.funcionpublica.gov.co/instrumentos-de-gestion-de-informacion-publica.
En materia de seguridad de la información, se pudo identificar la Política General de Seguridad de la Información la cual se encuentra publicada en el siguiente link: https://www1.funcionpublica.gov.co/documents/34645357/34703081/politica-general-seguridad-informacion-v1.pdf/415dc2a2-cc14-475c-b109-91aa5400c94b?t=1728482670613. Así como la Politica Específica de Seguridad de la Información actualizada a diciembre de 2024: ver: https://www1.funcionpublica.gov.co/documents/34645357/34703081/politica-general-seguridad-informacion-v1.pdf/415dc2a2-cc14-475c-b109-91aa5400c94b?t=1728482670613
</t>
  </si>
  <si>
    <t>El IDPAC cuenta con formato de Registro de incidentes de seguridad de la información IDPAC-CENT-FT-12 del 8 de diciembre de 2024</t>
  </si>
  <si>
    <r>
      <t xml:space="preserve">Se recomienda actualizar la información referente a los Instrumentos de gestión de información pública en la pagina web dado que la última actualización a la fecha de revisión fue 02/08/2023. </t>
    </r>
    <r>
      <rPr>
        <sz val="11"/>
        <rFont val="Arial Narrow"/>
        <family val="2"/>
      </rPr>
      <t>Ver: https://www1.funcionpublica.gov.co/instrumentos-de-gestion-de-informacion-publica
Se recomienda revisar y actualizar los formatos, políticas, manuales de seguridad de la información y tratamiento de riesgos</t>
    </r>
    <r>
      <rPr>
        <sz val="11"/>
        <color theme="1"/>
        <rFont val="Arial Narrow"/>
        <family val="2"/>
      </rPr>
      <t xml:space="preserve">
</t>
    </r>
  </si>
  <si>
    <t>Política de Seguridad de la Información IDPAC-CENT-PO-01 del 7 de diciembre de 2023, se recomienda su actualización</t>
  </si>
  <si>
    <t>Manual de Políticas de Seguridad de la Información IDPAC-GTI-MN-01 del 26 de marzo de 2021, se recomienda su revisión y actualización</t>
  </si>
  <si>
    <t>Plan de Tratamiento de riesgos de Seguridad y Privacidad de la información IDPAC-CENT-PL-02 del 29 de diciembre de 2023, se recomienda la revisión y actualización</t>
  </si>
  <si>
    <t xml:space="preserve">1.4 La evaluación de las acciones transversales de integridad, mediante el monitoreo permanente de los riesgos de corrupción. </t>
  </si>
  <si>
    <t>Dimension Talento Humano
Politica de Integridad</t>
  </si>
  <si>
    <t xml:space="preserve">1. Actualmente el Departamento cuenta con la Política de Administración de Riesgos en su versión 20, la cual contiene la actualización de la política riesgos en cuanto a los lineamientos definidos a los riesgos fiscales, incluyendo las generalidades, ajustando la matriz de responsabilidad y autoridad. Ver: https://www1.funcionpublica.gov.co/documents/34645357/54077991/Politica_admnistracion_riesgos_funcion_publica_v20.pdf/ba58210c-a63d-23af-20cb-9b58644e2dbc?t=1724426981244
2. El monitoreo de las acciones de integridad, se realiza teniendo en cuenta las responsabilidades de las líneas de defensa en el Sistema de Gestión Institucional SGI en el módulo de Riesgos. Ver: https://www.funcionpublica.gov.co/DAFPSGIWeb/
3. La Oficina de Control Interno revisa periodicamente una evaluación a la identificación, analisis y valoración de la gestión de riesgos de corrupción institucionales y la implementación de controles en el Departamento. Administrativo de la Función Pública. Se tienen identificados 96 riesgos en total, 70 de gestión, 8 de corrupción y 18 de seguridad digital
</t>
  </si>
  <si>
    <t>En el mes de junio de 2025 Comité de Coordinación de Control Interno</t>
  </si>
  <si>
    <t>Se recomienda continuar con el compromiso de   identificación de controles a la nueva categoría incluida en la politica de riesgos referente a los riesgos fiscales, de integridad y de fuga de conocimiento para diferentes áreas del Departamento.
Se recomienda la actualización de la política de riesgos del Instituto incorporando los lineamientos establecidos por el DAFP en la Guía de Administración de Riesgos en su versión 7</t>
  </si>
  <si>
    <t xml:space="preserve">Durante la sesión tres (3) del Comité Institucional de Gestión y Desempeño, del pasado 24 de junio de 2025, la OAP presento el estado actual de los riesgos institucionales, confirmando la actualización del mapa de riesgos institucional. </t>
  </si>
  <si>
    <t>Durante la sesión uno (1) del Comité de Gestión y Desempeño, del pasado 29 de enero, quedo establecido en el plan de trabajo del 2025, la actualización de la politica de riesgos articulada al programa de transparencia y ética pública, en cuanto a los riesgos de gestión, integridad pública, fiscales y de fuga de conocimiento tienen pendiente la identificación de controles</t>
  </si>
  <si>
    <t xml:space="preserve">Informe de seguimiento mapa de riesgos de corrupción I Cuatrimestre 2025 realizado en el mes de mayo de 2025 por la Oficina de Control Interno </t>
  </si>
  <si>
    <t xml:space="preserve">1.5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
</t>
  </si>
  <si>
    <t>Dimensión Direccionamiento Estratégico y Planeación
Plan Anticorrupción y de Atención al Ciudadano</t>
  </si>
  <si>
    <r>
      <t xml:space="preserve">1. La entidad cumpliendo con los lineamientos de la Ley 1712 de 2014 adoptó mediante la Resolución No. 054 de 2017 a través de la cual se fija el trámite para Peticiones, Quejas, Reclamos, Solicitudes y Denuncias. 
2. También cuenta con el canal de comunicación en el portal web institucional, para "Denuncias por Actos de Corrupción" a través del correo electrónico: soytransparente@funcionpublica.gov.co, el cual facilita la presentación de denuncias relacionadas con posibles actos de corrupción, presuntamente cometidos por Servidores Públicos de la entidad en el desempeño de sus funciones.http://www.funcionpublica.gov.co/denuncias-por-actos-de-corrupcion. 
3. </t>
    </r>
    <r>
      <rPr>
        <sz val="11"/>
        <color theme="4"/>
        <rFont val="Arial Narrow"/>
        <family val="2"/>
      </rPr>
      <t>Del mismo modo la entidad cuenta la Resolución 823 del 10 de Octubre de 2024, “Por la cual se convoca y se fija el procedimiento de elección de los representantes de los servidores públicos ante el Comité de Convivencia Laboral del Departamento Administrativo de la Función Pública para el periodo 2024 – 2026.” el cual desarrollo el proceso de elecciones para el periodo 2024 - 2026, actualmente vigente y en funcionamiento.</t>
    </r>
  </si>
  <si>
    <t>El Distrito cuenta con una linea de denuncias195 y la del IDPAC es  Línea Anticorrupción: (+57)  (+60) 1 2417900 - extensión 2802; 1 ò correo: controldisciplinariointerno@participacionbogota.gov.co</t>
  </si>
  <si>
    <r>
      <t xml:space="preserve">Mediante el Informe de Seguimiento a las PQRSD del Departamento, producido por la Oficina de Control Interno, se dejó la recomendación a la Secretaría General, de revisar la pertinencia de modificar la Resolución 054 para dar cuenta de la realidad de la forma en la que se reciben las peticiones, su administración y que se adecue al contexto actual de la entidad. 
</t>
    </r>
    <r>
      <rPr>
        <sz val="11"/>
        <color theme="4"/>
        <rFont val="Arial Narrow"/>
        <family val="2"/>
      </rPr>
      <t xml:space="preserve">Durante el mes de febrero, el Departamento recibió una denuncia por posibles actos de corrupción, de un alto directivo, no se evidencia tratamiento de la misma a través del correo relacionado anteriormente para estos casos, se recomienda revisar la publicidad de la información para utilizar los canales adecuados para este tipo de quejas. </t>
    </r>
  </si>
  <si>
    <t xml:space="preserve">En los comités de Coordinación de Control Interno se presentó el resultado del informe de riesgos de corrupción de la Oficina de Control Interno </t>
  </si>
  <si>
    <r>
      <rPr>
        <b/>
        <u/>
        <sz val="11"/>
        <color theme="0"/>
        <rFont val="Arial Narrow"/>
        <family val="2"/>
      </rPr>
      <t>Lineamiento 2:</t>
    </r>
    <r>
      <rPr>
        <sz val="11"/>
        <color theme="0"/>
        <rFont val="Arial Narrow"/>
        <family val="2"/>
      </rPr>
      <t xml:space="preserve"> 
Aplicación de mecanismos para ejercer una adecuada supervisión del Sistema de Control Interno </t>
    </r>
  </si>
  <si>
    <t>Evaluación</t>
  </si>
  <si>
    <t>2.1 Creación o actualización del Comité Institucional de Coordinación de Control Interno (incluye ajustes en periodicidad para reunión, articulación con el Comité Institucioanl de Gestión y Desempeño).</t>
  </si>
  <si>
    <t>Dimension Control Interno
Politica de Control Interno</t>
  </si>
  <si>
    <t>1. El Comité de Coordinación de Control Interno, se encuentra reglado por la Resolución 126 de 2018.
2. Los Comités Directivos y de Gestión y Desempeño Institucional se encuentran reglados por la Resolución 442 de 2017</t>
  </si>
  <si>
    <t>No se requirió actualización de la normatividad de los Comités Directivos, ni de Gestión y Desempeño Institucional, ni de Control Interno durante el primer semestre de 2025</t>
  </si>
  <si>
    <t xml:space="preserve">Durante la sesión tres (3) del Comité de Gestión y Desempeño, el delegado de la OCI solicito aprobar la política de riesgos en la sesión del Comité de Control Interno de acuerdo a los lineamientos del Comité.
Durante la vigencia 2025 se realizaron tres (3) comités de Coordianción de Control Interno </t>
  </si>
  <si>
    <t>2.2 Definición y documentación del Esquema de Líneas de Defensa</t>
  </si>
  <si>
    <t>Dimension Control Interno
Politica de Control Interno
Lineas de defensa</t>
  </si>
  <si>
    <t xml:space="preserve">1. En Función Pública se tiene el Manual Operativo del Modelo Integrado de Planeación y Gestión el cual establece el modelo de líneas de defensa como un esquema de responsabilidades integrada por cuatro líneas de defensa, el cual se configura a partir de la adaptación del Modelo de las Tres Líneas de Defensa. 
2. De otro lado, la Política de Administración de Riesgos de Julio de 2024, también contiene el esquema de líneas de defensa para establecer los niveles de autoridad y responsabilidad frente a la gestión de los riesgos institucionales
</t>
  </si>
  <si>
    <t>Se realizaron tres (3)  Comités de Coordinación de Control Interno durante la vigencia 2025</t>
  </si>
  <si>
    <t>La Oficina de Control Interno desarrollo una campaña de comunicaciones durante el primer semestre de 2025, destacando los roles de las líneas de defensa según el Manual Operativo del Modelo Integrado de Planeación y Gestión desarrollando piezas comunicativas sobre los roles y responsabilidades de cada una de las líneas de defensa
Se recomienda la actualización de la política de riesgos del Instituto incorporando los lineamientos establecidos por el DAFP en la Guía de Administración de Riesgos en su versión 7</t>
  </si>
  <si>
    <t>No se pudo evidenciar tratamiento del tema de líneas de defensa durante los Comités Directivos, ni de Gestión y Desempeño Institucional del primer semestre de 2025</t>
  </si>
  <si>
    <t xml:space="preserve">En la Política de Administración de Riesgos IDPAC-DE-PO-02 versión 9 del 29 de diciembre de 2025, se encuentran las lineas de defensa, se recomienda la actualización </t>
  </si>
  <si>
    <t>2.3 Definición de líneas de reporte en temas clave para la toma de decisiones, atendiendo el Esquema de Líneas de Defensa</t>
  </si>
  <si>
    <t>Dimension Control Interno
Politica de Control Interno
Linea de Defensa
Dimension de Informaciòn y Comunicaciòn</t>
  </si>
  <si>
    <t>1. En el SIPG en el módulo de Evaluación y Seguimiento, se encuentra cargado el documento Instructivo de Usuario SGI el cual contiene los roles, responsabilidades y tiempos de reporte en tema de riesgos y controles Ver: https://www1.funcionpublica.gov.co/web/intranet/manuales-proceso-seguimiento-evaluacion-gi
2.De otro lado, la Política de Administración de Riesgos de Julio de 2024, también contiene el esquema de líneas de defensa para establecer los niveles de autoridad y responsabilidad frente a la gestión de los riesgos institucionales</t>
  </si>
  <si>
    <t>La Oficina de Control Interno desarrollo una campaña de comunicaciones durante el primer semestre de 2025, destacando los roles de las líneas de defensa según el Manual Operativo del Modelo Integrado de Planeación y Gestión desarrollando piezas comunicativas sobre los roles y responsabilidades de cada una de las líneas de defensa</t>
  </si>
  <si>
    <t>Se recomienda la adopción de la política de control interno en la cual se establecen las lineas de defensa</t>
  </si>
  <si>
    <r>
      <rPr>
        <b/>
        <u/>
        <sz val="11"/>
        <color theme="0"/>
        <rFont val="Arial Narrow"/>
        <family val="2"/>
      </rPr>
      <t>Lineamiento 3:</t>
    </r>
    <r>
      <rPr>
        <sz val="11"/>
        <color theme="0"/>
        <rFont val="Arial Narrow"/>
        <family val="2"/>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</si>
  <si>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t>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</si>
  <si>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Dimension de Direccionamiento Estrategico y Planeaciòn
Politica de Planeaciòn Institucional 
Dimension Control Interno</t>
  </si>
  <si>
    <t xml:space="preserve"> 1. Política de Administración de Riesgos versión 20. Ver: https://10.116.8.19:7443/documents/34645357/54077991/Politica_admnistracion_riesgos_funcion_publica_v20.pdf/ba58210c-a63d-23af-20cb-9b58644e2dbc?t=1724426981244
2. Guía para la Administración del Riesgo y el diseño de controles en entidades públicas. Ver: https://www1.funcionpublica.gov.co/documents/28587410/34299967/Guia_administracion_riesgos_capitulo_riesgo_fiscal.pdf
3. Mapa de Riesgos Institucional. Ver: https://www1.funcionpublica.gov.co/mapa-de-riesgo
4. Módulo Riesgos Sistema de Gestión Institucional. Ver: https://www.funcionpublica.gov.co/DAFPSGIWeb/
</t>
  </si>
  <si>
    <t>1. Durante la sesión tres (3) del Comité de Gestión y Desempeño, el delegado de la OCI solicito aprobar la politica de riesgos en la sesión del Comité de Control Interno de acuerdo a los lineamientos del Comité.
2. En la política de riesgos vigente (julio de 2024) se establecen los roles de evaluación y su aplicación en Función Pública.
Se recomienda la actualización de la política de riesgos del Instituto incorporando los lineamientos establecidos por el DAFP en la Guía de Administración de Riesgos en su versión 7</t>
  </si>
  <si>
    <t>Durante la sesión uno (1) del Comité de Gestión y Desempeño, del pasado 29 de enero, quedo establecido en el plan de trabajo del 2025, la actualización de la política de riesgos articulada al programa de transparencia y ética pública, en cuanto a los riesgos de gestión, integridad pública, fiscales y de fuga de conocimiento tienen pendiente la identificación de controles</t>
  </si>
  <si>
    <t xml:space="preserve">3.2 La Alta Dirección frente a la política de Administración del Riesgo definen los niveles de aceptación del riesgo, teniendo en cuenta cada uno de los objetivos establecidos. </t>
  </si>
  <si>
    <t>Dimension Control Interno
Politica de Control Interno
Linea Estrategica</t>
  </si>
  <si>
    <r>
      <rPr>
        <sz val="11"/>
        <rFont val="Arial Narrow"/>
        <family val="2"/>
      </rPr>
      <t xml:space="preserve">De acuerdo a la política de riesgos aprobada </t>
    </r>
    <r>
      <rPr>
        <sz val="11"/>
        <color theme="1"/>
        <rFont val="Arial Narrow"/>
        <family val="2"/>
      </rPr>
      <t xml:space="preserve">1. Función Pública determina que para los riesgos residuales de gestión y seguridad digital que se encuentren en zona de riesgo baja, está dispuesto a aceptar el riesgo y no se requiere la documentación de planes de acción.
2. Para los riesgos de corrupción y fiscales no hay aceptación del riesgo, siempre deben conducir a formular controles adecuados y acciones de fortalecimiento que mitiguen su materialización.
3. Mediante el análisis y seguimiento a los riesgos en zona baja, se puede considerar inactivarlos del mapa de riesgos institucional cuando se evidencia que las acciones de control son efectivas y han impedido desviaciones o materialización del riesgo.
</t>
    </r>
  </si>
  <si>
    <t xml:space="preserve">En el Comité de Coordinación de Control Interno celebrado en el mes de junio de 2025, se presentó la evaluación de los riesgos de gestión y corrupción.  </t>
  </si>
  <si>
    <r>
      <t xml:space="preserve">1. Durante la sesión tres (3) del Comité de Gestión y Desempeño, el delegado de la OCI solicito aprobar la política de riesgos en la sesión del Comité de Control Interno de acuerdo a los lineamientos del Comité.
2. En la política de riesgos vigente (julio de 2024) se establecen los niveles de aceptación del riesgo, asi como su aplicación en Función Pública.
</t>
    </r>
    <r>
      <rPr>
        <sz val="11"/>
        <color theme="4"/>
        <rFont val="Arial Narrow"/>
        <family val="2"/>
      </rPr>
      <t>3. Se recomienda estudiar la posibilidad de incluir el riesgo de infraestructura del edificio de Función Pública dentro del mapa de riesgos institucional, documentar y realizar la identificación de controles.</t>
    </r>
    <r>
      <rPr>
        <sz val="11"/>
        <color theme="1"/>
        <rFont val="Arial Narrow"/>
        <family val="2"/>
      </rPr>
      <t xml:space="preserve"> </t>
    </r>
  </si>
  <si>
    <t>No se pudo evidenciar tratamiento del tema de aceptación de niveles de riesgo durante los Comités Directivos, ni de Gestión y Desempeño Institucional del primer semestre de 2025</t>
  </si>
  <si>
    <t>3.3 Evaluación de la planeación estratégica, considerando alertas frente a posibles incumplimientos, necesidades de recursos, cambios en el entorno que puedan afectar su desarrollo, entre otros aspectos que garanticen de forma razonable su cumplimiento.</t>
  </si>
  <si>
    <t>Diimensiòn Evaluacion de Resultados 
Politica de Seguimiento y Evaluaciòn al Desemepeño Institucional
Dimension Control Interno
Lineas de defensa</t>
  </si>
  <si>
    <t>El Departamento cuenta con el Plan de Acción Anual 2025, versión 1, en concordancia con los objetivos institucionales, las metas estratégicas, los compromisos del Plan Nacional de Desarrollo 2022-2026 y las obligaciones de los diferentes planes integrados en el marco del Decreto 612 de 2018. Estos planes tienen como finalidad articular toda la gestión institucional.</t>
  </si>
  <si>
    <t xml:space="preserve">Se ha realizado seguimiento a la planeación estratégica a través de tres (3) Comités de Gestión y Desempeño y seis (6) sesiones del Comité Directivo, donde la Alta dirección ha revisado los resultados de la gestión institucional y ha tomado decisiones para el cumplimiento de los objetivos institucionales y los del plan nacional de desarrollo. </t>
  </si>
  <si>
    <t>Mediante la Evaluación realizada  se ha realizado seguimiento a la planeación estratégica institucional, generando alertas, recomendaciones para la mejora continua de los procesos en su planeación institucional.</t>
  </si>
  <si>
    <t>SIGPARTICIPO</t>
  </si>
  <si>
    <r>
      <rPr>
        <b/>
        <u/>
        <sz val="11"/>
        <color theme="0"/>
        <rFont val="Arial Narrow"/>
        <family val="2"/>
      </rPr>
      <t>Lineamiento 4:</t>
    </r>
    <r>
      <rPr>
        <sz val="11"/>
        <color theme="0"/>
        <rFont val="Arial Narrow"/>
        <family val="2"/>
      </rPr>
      <t xml:space="preserve"> 
Compromiso con la competencia de todo el personal, por lo que la gestión del talento humano tiene un carácter estratégico con el despliegue de actividades clave para todo el ciclo de vida del servidor público –ingreso, permanencia y retiro.</t>
    </r>
  </si>
  <si>
    <t>4.1 Evaluación de la Planeación Estratégica del Talento Humano.</t>
  </si>
  <si>
    <t>Dimension de Talento Humano
Politica Gestion Estrategica del Talento Humano
Dimension de Control Interno
Lineas de Defensa</t>
  </si>
  <si>
    <t>1. Función Pública cuenta con el Plan Estratégico del Talento Humano 2025, que contiene un capitulo de evaluación del Plan, donde se describen los mecanismos e indicadores de evaluación. https://www1.funcionpublica.gov.co/documents/418537/53686688/2025-01-31_Plan_estrategico_talento_humano_v1.pdf/d4db926c-9d78-89f2-ffa3-964d564d3633?t=1738358617206</t>
  </si>
  <si>
    <t>Durante la sesión uno (1) del Comité de Gestión y Desempeño, se aprobó el PETH de Función Pública para 2025, incluido dentro del Plan de Acción Anual 2025, el cual tiene como meta: "Desarrollar al 100% las actividades establecidas en los planes que integran el PETH"</t>
  </si>
  <si>
    <t xml:space="preserve">Mediante informes de la OCI se ha realizado seguimiento a la planeación estratégica institucional, generando seguimientos, alertas y recomendaciones en las posibles desviaciones identificadas por el equipo auditor, tal es el caso del diligenciamiento FURAG, y la evaluación por dependencias realizada al GGH del 2025, donde se registraron recomendaciones y observaciones al funcionamiento de dicho plan. Adicionalemente no se pudo evidenciar un seguimiento formal al PETH ni una evaluación que determinara su efectividad. </t>
  </si>
  <si>
    <t>4.2 Evaluación de las actividades relacionadas con el Ingreso del personal.</t>
  </si>
  <si>
    <t xml:space="preserve">1. Mediante la Política de Operación del proceso de Talento Humano, se establecen directrices referentes al ingreso de personal en la entidad, en cuanto a selección, requisitos, vinculación, inducción, acuerdos de gestión y evaluación del desempeño.
2. Adicionalmente en el sistema de carpetas compartidas Yaksa, se tiene un reporte que contiene el seguimiento a todas las vinculaciones desarrolladas en la vigencia. Ver: \\Yaksa\12001ggh\2025\DOCUMENTOS_APOYO\2_VINCULACIONES. 
3. Con ocasión del Concurso de Meritos de los servidores de carrera administrativa, se llevó a cabo un seguimiento permanente al estado de este concurso en cuanto al ingreso del personal.
</t>
  </si>
  <si>
    <t xml:space="preserve">El 9 de enero de 2026 se solicitó a la Oficina Asesora de Planeación las actas de los comités de gestión y desempeño desarrollados en la vigencia 2025, con el fin de verificar el contenido de los mismos, a la fecha no se han entregado. </t>
  </si>
  <si>
    <r>
      <t xml:space="preserve">1. A través del informe de Austeridad en el Gasto, la OCI hace seguimiento al ingreso de personal del Departamento. 
2. Es importante implementar jornadas de inducción y re inducción de manera específica, que permitan que los nuevos servidores vinculados por el concurso de méritos apropien sus funciones de manera efectiva. 
3. De acuerdo al informe de austeridad en el gasto, se presentaron los siguientes datos del concurso:  *Nivel técnico y asistencial: empleos ofertados 25 (18 posesionados, 2 pendiente posesión, 1 excluido, 1 no acepta, 1 renuncia y 2 uso de lista no notificados).
**Nivel profesional universitario: empleos ofertados 28 (22 posesionados, 2 pendientes de posesión, 1 exclusión, 2 no aceptan y 1 solicitud de prórroga). ***Nivel profesional especializado: empleos ofertados 112 (93 posesionados, 3 pendiente posesión, 4 exclusiones, 4 no acepta, 3 lista agotada y 5 renuncias).
</t>
    </r>
    <r>
      <rPr>
        <sz val="11"/>
        <color theme="4"/>
        <rFont val="Arial Narrow"/>
        <family val="2"/>
      </rPr>
      <t xml:space="preserve">4, No se pudo evidenciar un seguimiento formal al PETH ni una evaluación que determinara su efectividad. </t>
    </r>
  </si>
  <si>
    <t>No se pudo evidenciar tratamiento del tema evaluación de las acciones de retiro durante los Comités Directivos, ni de Gestión y Desempeño Institucional en la vigencia 2025</t>
  </si>
  <si>
    <t>4.3 Evaluación de las actividades relacionadas con la permanencia del personal.</t>
  </si>
  <si>
    <t xml:space="preserve">Mediante el Plan Estratégico de Talento Humano se establecieron dos actividades referentes a la permanencia de los servidores en el Departamento. Administrar la información relacionada con la historia laboral de cada servidor y Coordinar las actividades pertinentes para que los servidores de la Entidad presenten la Declaración de Bienes y Rentas y hacer el respectivo seguimiento.
En cumplimiento de la ley 909 de 2004, Función Pública adelanta el proceso de evaluación del desempeño dos veces al año.  </t>
  </si>
  <si>
    <t>Adicionalemente no se pudo evidenciar un seguimiento formal al PETH ni una evaluación que determinara su efectividad. 
Se recomienda publicar en la página Web del Instituto el resultado del seguimiento del plan estratégico del talento humano</t>
  </si>
  <si>
    <t>4.4Analizar si se cuenta con políticas claras y comunicadas relacionadas con la responsabilidad de cada servidor sobre el desarrollo y mantenimiento del control interno (1a línea de defensa)</t>
  </si>
  <si>
    <t xml:space="preserve">1. MIPG dimensión 7. Control Interno
2. Política de Administración del Riesgo 2024
3. En el SIPG en el proceso de Dirección y Estrategia, se encuentra contenida la Matriz de responsabilidad y autoridad. 
4. El SIPG contiene las políticas de operación asociadas a cada proceso del Departamento.
5. Políticas de Operación de la Oficina de Control Interno.
 </t>
  </si>
  <si>
    <t xml:space="preserve">Durante la sesión tres (3) del Comité de Gestión y Desempeño, del pasado 24 de junio, se aprobó la Política de Gestión Documental la cual se presenta como un conjunto de principios, normas y directrices que regulan la producción, recepción, organización, conservación, acceso y disposición final de los documentos. </t>
  </si>
  <si>
    <t>4.5 Evaluación de las actividades relacionadas con el retiro del personal.</t>
  </si>
  <si>
    <r>
      <t xml:space="preserve">A pesar de que entidad tiene definidos roles, procesos y actividades en torno al retiro del personal, no se cuenta con un lineamiento de evaluación de actividades relacionadas con el retiro del personal. </t>
    </r>
    <r>
      <rPr>
        <sz val="11"/>
        <color rgb="FFFF0000"/>
        <rFont val="Arial Narrow"/>
        <family val="2"/>
      </rPr>
      <t xml:space="preserve">
</t>
    </r>
  </si>
  <si>
    <t>No se pudo evidenciar tratamiento del tema evaluación de las acciones de retiro durante los Comités Directivos, ni de Gestión y Desempeño Institucional de la vigencia 2025</t>
  </si>
  <si>
    <t>Se recomienda la publicación de los seguimientos del plan estratégico del talento humano en la página web del Instituto</t>
  </si>
  <si>
    <t>4.6 Evaluar el impacto del Plan Institucional de Capacitación - PIC</t>
  </si>
  <si>
    <r>
      <t xml:space="preserve">Durante la sesión 1 del 29 de enero en el Comité de Gestión y Desempeño se aprobó el Plan Estratégico de Talento Humano de Función Pública. 
</t>
    </r>
    <r>
      <rPr>
        <sz val="11"/>
        <color theme="4"/>
        <rFont val="Arial Narrow"/>
        <family val="2"/>
      </rPr>
      <t xml:space="preserve">
De acuerdo al Plan Institucional de Capacitación 2025, durante el primer semestre se realizaron 13 capacitaciones en diferentes temas de Función Pública.</t>
    </r>
  </si>
  <si>
    <t xml:space="preserve">Durante la sesión uno (1) del Comité de Gestión y Desempeño, del 29 de enero de 2025, se aprobó el Plan Estratégico de Talento Humano de Función Pública. </t>
  </si>
  <si>
    <t>De acuerdo a las conclusiones y observaciones realizadas en el informe de Evaluación por dependencias al GGH, "Es importante efectuar la Evaluación del Plan Estratégico de Talento Humano a través de la Matriz de Gestión Estratégica de Talento Humano, tal como lo define el mismo plan, esto con el fin de asegurar el cumplimiento oportuno de las acciones definidas y aprobadas al comienzo de la vigencia. Igualmente y teniendo en cuenta el volumen de actividades definidas en el Plan Estratégico de Talento Humano, se sugiere que en los registros del SGI al cierre de la vigencia, se plasmen los resultados cuantitativos de las actividades desarrolladas; esto con el propósito de visibilizar de manera numérica la importante gestión del grupo. (Recomendación consignada en el informe de las anteriores vigencias)</t>
  </si>
  <si>
    <t>4.7 Evaluación frente a los productos y servicios en los cuales participan los contratistas de apoyo.</t>
  </si>
  <si>
    <t xml:space="preserve">El proceso de Gestión Contractual, cuenta con el Manual de Contratación, en su versión 18, actualizado el pasado mes de septiembre de 2024. Ver: https://10.116.8.19:7443/documents/34645357/34703402/Manual_contratacion_v18.pdf/cdfc5bc1-0a5d-1081-5a98-d604ba067037?t=1726611646302
La entidad a través del proceso de Gestión de Recursos, cuenta con el manual de Supervisión de contratos, actualizado al 19 de diciembre de 2024. Ver: https://www1.funcionpublica.gov.co/documents/34645357/34703402/Manual-de-supervisi%C3%B3n.pdf/13c43295-310b-4aad-2c6e-65a151ae8ffa?t=1609799160656
</t>
  </si>
  <si>
    <t>Mediante todos los Comités Directivos desarrollados en el primer semestre de 2025, se hizo seguimiento a los contratos prioritarios como el convenio con la ESAP, entre otros</t>
  </si>
  <si>
    <t xml:space="preserve">La Oficina de Control Interno presentó el informe de seguimiento a las funciones de supervisión de contratos donde dejó recomendaciones al proceso de Gestión Contractual, y a los supervisores de cada dependencia. </t>
  </si>
  <si>
    <t xml:space="preserve">Según los reportes del GGC compartidos con la OCI, durante el primer semestre de 2025, se han suscrito 49 Contratos en las diferentes modalidades de contratación, 6 de Compraventa o Suministro, 1 contrato interadministrativo,  12 de prestación de servicios, 1 de prestación de servicios de apoyo a la gestión, 18 de prestación de servicios profesionales, y 1 contrato de seguros. </t>
  </si>
  <si>
    <r>
      <rPr>
        <b/>
        <u/>
        <sz val="11"/>
        <color theme="0"/>
        <rFont val="Arial Narrow"/>
        <family val="2"/>
      </rPr>
      <t>Lineamiento 5:</t>
    </r>
    <r>
      <rPr>
        <sz val="11"/>
        <color theme="0"/>
        <rFont val="Arial Narrow"/>
        <family val="2"/>
      </rPr>
      <t xml:space="preserve"> 
La entidad establece líneas de reporte dentro de la entidad para evaluar el funcionamiento del Sistema de Control Interno.</t>
    </r>
  </si>
  <si>
    <t>5.1 Acorde con la estructura del Esquema de Líneas de Defensa se han definido estándares de reporte, periodicidad y responsables frente a diferentes temas críticos de la entidad.</t>
  </si>
  <si>
    <t>Dimension de Informaciòn y Comunicaciòn
Dimensiòn de Control Interno
Lineas de Defensa</t>
  </si>
  <si>
    <r>
      <t xml:space="preserve">1. La entidad tiene definido y establecido en la "Política de Administración de Riesgos versión de julio de 2024" la cual establece los niveles de aceptación de los riesgos, y la responsabilidad mediante las líneas de defensa. Ver:
https://www1.funcionpublica.gov.co/documents/34645357/54077991/Politica_admnistracion_riesgos_funcion_publica_v20.pdf/ba58210c-a63d-23af-20cb-9b58644e2dbc?t=1724426981244 
2. En el SIPG en el proceso de Dirección y Estrategia, se encuentra contenida la Matriz de responsabilidad y autoridad. 
</t>
    </r>
    <r>
      <rPr>
        <sz val="11"/>
        <color theme="4"/>
        <rFont val="Arial Narrow"/>
        <family val="2"/>
      </rPr>
      <t>3. El Proceso de Dirección y Estrategia cuenta con las politicas de operación general; la Política de operación institucional y la Política administración de riesgos</t>
    </r>
    <r>
      <rPr>
        <sz val="11"/>
        <color theme="1"/>
        <rFont val="Arial Narrow"/>
        <family val="2"/>
      </rPr>
      <t xml:space="preserve">
</t>
    </r>
    <r>
      <rPr>
        <sz val="11"/>
        <color theme="4"/>
        <rFont val="Arial Narrow"/>
        <family val="2"/>
      </rPr>
      <t xml:space="preserve">4. El seguimiento desarrollado mediante el Mapa de Aseguramiento,permite identificar los resultados de la segunda línea como proveedores de información para monitorear el sistema de control interno
</t>
    </r>
  </si>
  <si>
    <t>5.2 La Alta Dirección analiza la información asociada con la generación de reportes financieros.</t>
  </si>
  <si>
    <t xml:space="preserve">
Dimensiòn de Control Interno
Linea de Estrategica</t>
  </si>
  <si>
    <t xml:space="preserve">1. Función Pública tiene en su página web, en el botón de transparencia un espacio para el seguimiento a los Estados Financieros. Ver: https://www1.funcionpublica.gov.co/estados-financieros
2. Así mismo, el Mapa de Riesgo Institucional contempla también el seguimiento a los riesgos financieros: Ver:  https://www.funcionpublica.gov.co/mapa-de-riesgo
</t>
  </si>
  <si>
    <t>Se realizó comité de coordinación de control interno en el mes de junio de 2025, donde se presentó el resultado de la evalaución del Control interno Contable</t>
  </si>
  <si>
    <t>La Oficina de Control Interno presentó en febrero de 2025 el informe de Control Interno Contable que revisa la información financiera del Departamento y hace recomendaciones para la mejora del proceso contable.</t>
  </si>
  <si>
    <r>
      <t xml:space="preserve">Durante los Comité Directivos (1) del 20 de enero de 2025, el Comité (4) realizado el 31 de marzo del año en curso,  y Comité Directivo No. 6 del 12 de mayo, el jefe de la OAP dio a conocer el estado de la ejecución presupuestal de la entidad para la vigencia 2025. </t>
    </r>
    <r>
      <rPr>
        <sz val="11"/>
        <color rgb="FFFF0000"/>
        <rFont val="Arial Narrow"/>
        <family val="2"/>
      </rPr>
      <t>.</t>
    </r>
    <r>
      <rPr>
        <sz val="11"/>
        <color theme="1"/>
        <rFont val="Arial Narrow"/>
        <family val="2"/>
      </rPr>
      <t xml:space="preserve"> </t>
    </r>
  </si>
  <si>
    <t>5.3 Teniendo en cuenta la información suministrada por la 2a y 3a línea de defensa se toman decisiones a tiempo para garantizar el cumplimiento de las metas y objetivos.</t>
  </si>
  <si>
    <t>Dimensiòn de Control Interno
Lineas de Defensa</t>
  </si>
  <si>
    <r>
      <t xml:space="preserve">En la Política de Operación del Proceso Direccionamiento Estratégico, se establece en la Guía de acción que: "El mecanismo para la planificación, seguimiento y toma de decisiones gerenciales será las sesiones del Comité Directivo, donde se levantará un acta como registro de cada reunión y consolidación de conclusiones."
</t>
    </r>
    <r>
      <rPr>
        <sz val="11"/>
        <color theme="4"/>
        <rFont val="Arial Narrow"/>
        <family val="2"/>
      </rPr>
      <t>Adicionalmente, el Sistema de Gestión Institucional, cumple las veces de instrumento de seguimiento de la planeación institucional, entregables, indicadores, planes de mejoramiento, riesgos entre otros.</t>
    </r>
    <r>
      <rPr>
        <sz val="11"/>
        <color theme="1"/>
        <rFont val="Arial Narrow"/>
        <family val="2"/>
      </rPr>
      <t xml:space="preserve">
</t>
    </r>
  </si>
  <si>
    <t xml:space="preserve">En el Comité de Coordinación de Control Interno, se socializaron las recomendaciones de la tercera línea de defensa. </t>
  </si>
  <si>
    <t xml:space="preserve">Mediante las reuniones operativas del Comité Directivo y de Gestión y Desempeño, se han tomado decisiones para garantizar el cumplimiento de metas y objetivos institucionales.
Igualmente los informes de la Oficina de Control Interno son remitidos a la alta dirección con las respectivas recomendaciones para la toma de decisiones. </t>
  </si>
  <si>
    <t xml:space="preserve">Mediante los Comités Directivos, se socializan las recomendaciones y observaciones presentadas por la Segunda Línea de defensa para facilitar la toma de decisiones. </t>
  </si>
  <si>
    <t>5.4 Se evalúa la estructura de control a partir de los cambios en procesos, procedimientos, u otras herramientas, a fin de garantizar su adecuada formulación y afectación frente a la gestión del riesgo.</t>
  </si>
  <si>
    <t>Dimension de Gestion con Valores para Resultado
Politica de Fortalecimiento Organizacional y Simplificaciòn de Procesos
Dimension Control Interno
Lineas de Defensa</t>
  </si>
  <si>
    <r>
      <rPr>
        <sz val="11"/>
        <color theme="4"/>
        <rFont val="Arial Narrow"/>
        <family val="2"/>
      </rPr>
      <t>Dentro de la Planeación Institucional se tiene identificado como revisor de riesgos y controles de las áreas del Departamento a la Oficina Asesora de Planeación como encargada del seguimiento de la ejecución de la planeación.</t>
    </r>
    <r>
      <rPr>
        <sz val="11"/>
        <color theme="1"/>
        <rFont val="Arial Narrow"/>
        <family val="2"/>
      </rPr>
      <t xml:space="preserve">
En el Proceso de Evaluación Independiente, se tiene el Procedimiento: Auditoría basada en riesgos, con el cual la Oficina de Control Interno lleva a cabo la verificación de la efectividad de los controles y el análisis de los riesgos asociados al proceso auditado, según el Plan Anual de Auditorías y Seguimientos.</t>
    </r>
  </si>
  <si>
    <t>Mediante los seguimientos e informes desarrollados por la Oficina de Control Interno, se revisa la aplicación de los controles en los diferentes procesos.</t>
  </si>
  <si>
    <t>Durante la sesión tres (3) del Comité de Gestión y Desempeño, del pasado 24 de junio, se informó que actualmente se encuentran pendientes la identificación de controles a la nueva categoría incluida en la politica de riesgos referente a los riesgos fiscales, de integridad y de fuga de conocimiento para diferentes áreas del Departamento.</t>
  </si>
  <si>
    <t>Durante la sesión del Comité de Gestión y Desempeño, del pasado 24 de junio, la OAP informó que cumplió con el compromiso con todas las dependencias, mediante 27 mesas de trabajo, de revisión y modificación a los riesgos y controles (áreas DPTSC, OTIC, DDO, DEP, GGC y OCI), que a la fecha queda pendiente finalizar el ejercicio con el GGH y la DGDI</t>
  </si>
  <si>
    <t>5.5 La entidad aprueba y hace seguimiento al Plan Anual de Auditoría presentado y ejecutado por parte de la Oficina de Control Interno.</t>
  </si>
  <si>
    <t>Dimension Control Interno
Linea Estrategica</t>
  </si>
  <si>
    <t xml:space="preserve">Durante la sesión cuatro (4) del CICCI, del pasado 16 de diciembre se aprobó el Plan Anual de Auditorías y Seguimientos del 2025. </t>
  </si>
  <si>
    <t>Las observaciones, desviaciones y principales recomendaciones han sido presentadas a los líderes de proceso en los diferentes temas que durante el primer semestre han sido objeto de evaluación por parte de la OCI. 
El Plan Anual de Auditorías y Seguimientos, con corte a 30 de diciembre de 2025 se ejecutó el 100%</t>
  </si>
  <si>
    <t>Durante la sesión tres (3) del Comité de Gestión y Desempeño, del pasado 24 de junio, se informó sobre la auditoría de segunda línea que adelantará la entidad durante los meses de julio agosto y septiembre con ocasión a la certificación del sistema FURAG ante el DANE de acuerdo a la NTCE1000</t>
  </si>
  <si>
    <t>5.6 La entidad analiza los informes presentados por la Oficina de Control Interno y evalúa su impacto en relación con la mejora institucional.</t>
  </si>
  <si>
    <r>
      <t>La OCI cuenta con el procedimiento de "Auditoría basadas en Riesgos" el cual guía el diseño y ejecución de las auditorías, mediante la identificación de desviaciones y la generación de recomendaciones que permiten la mejora institucional. Ver: https://www.funcionpublica.gov.co/web/intranet/procedimiento-</t>
    </r>
    <r>
      <rPr>
        <sz val="11"/>
        <rFont val="Arial Narrow"/>
        <family val="2"/>
      </rPr>
      <t xml:space="preserve">auditoria-basada-en-riesgos
A través del SIPG en el proceso de Dirección y Estrategia cuenta con el procedimiento Administración del riesgo en Función Pública, actualizado a fecha 12- 02- 2025. 
</t>
    </r>
    <r>
      <rPr>
        <sz val="11"/>
        <color theme="4"/>
        <rFont val="Arial Narrow"/>
        <family val="2"/>
      </rPr>
      <t>Los resultados de seguimientos y auditorías de la OCI son publicados en la página web de Función Pública. Ver: https://www1.funcionpublica.gov.co/informes-y-seguimientos-oficina-de-control-interno</t>
    </r>
  </si>
  <si>
    <r>
      <t xml:space="preserve">La identificación del riesgo materializado fue descrito mediante el informe de Austeridad en el gasto del primer trimestre de 2025, producto del análisis desarrollado por la Oficina de Control Interno.  
</t>
    </r>
    <r>
      <rPr>
        <sz val="11"/>
        <rFont val="Arial Narrow"/>
        <family val="2"/>
      </rPr>
      <t>La OCI presentó el Informe de Seguimiento al Plan de Mejoramiento Institucional realizando comentarios, sobre 52 hallazgos revisados.</t>
    </r>
  </si>
  <si>
    <t>Durante la sesión tres (3) del Comité de Gestión y Desempeño del pasado 24 de junio, se informó desde la OAP, la materialización de un (1) riesgo, para las áreas de talento humano y financiera, asociado con el pago de comisiones, el cual se encuentra pendiente del registro de acciones.</t>
  </si>
  <si>
    <t>EVALUACIÓN DE RIESGOS</t>
  </si>
  <si>
    <t xml:space="preserve">Este componente hace referencia al ejercicio efectuado bajo el liderazgo del equipo directivo y de todos los servidores de la entidad, y permite identificar, evaluar y gestionar eventos potenciales, tanto internos como externos, que puedan afectar el logro de los objetivos institucionales.
La condición para la evaluación de riesgos es el establecimiento de objetivos, vinculados a varios niveles de la entidad, lo que implica que la Alta Dirección define objetivos y los agrupa en categorías en todos los niveles de la entidad, con el fin de evaluarlos </t>
  </si>
  <si>
    <r>
      <rPr>
        <b/>
        <u/>
        <sz val="11"/>
        <color theme="0"/>
        <rFont val="Arial Narrow"/>
        <family val="2"/>
      </rPr>
      <t xml:space="preserve">Lineamiento 6: 
</t>
    </r>
    <r>
      <rPr>
        <b/>
        <sz val="11"/>
        <color theme="0"/>
        <rFont val="Arial Narrow"/>
        <family val="2"/>
      </rPr>
      <t xml:space="preserve">Definición de objetivos con suficiente claridad para identificar y evaluar los riesgos relacionados: i)Estratégicos; ii)Operativos; iii)Legales y Presupuestales; iv)De Información Financiera y no Financiera.
</t>
    </r>
  </si>
  <si>
    <r>
      <t xml:space="preserve">Explicación de cómo la Entidad </t>
    </r>
    <r>
      <rPr>
        <b/>
        <u/>
        <sz val="11"/>
        <color theme="0"/>
        <rFont val="Arial Narrow"/>
        <family val="2"/>
      </rPr>
      <t xml:space="preserve">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</si>
  <si>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</si>
  <si>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r>
      <t xml:space="preserve">Funcionando
</t>
    </r>
    <r>
      <rPr>
        <i/>
        <sz val="11"/>
        <color theme="0"/>
        <rFont val="Arial Narrow"/>
        <family val="2"/>
      </rPr>
      <t>(1/2/3)</t>
    </r>
  </si>
  <si>
    <t>6.1  La Entidad cuenta con mecanismos para vincular o relacionar el plan estratégico con los objetivos estratégicos y estos a su vez con los objetivos operativos.</t>
  </si>
  <si>
    <t>Dimension de Direccionamiento Estratetegico y Planeacion.
Politica de Planeacion Institucional</t>
  </si>
  <si>
    <t>En el aparte de Direccionamiento Estratégico en el SIPG de Función Pública, se encuentra contenido el Procedimiento de Formulación de Planes Estratégicos e Institucionales, versión 8 del 22 de enero de 2025. Este procedimiento tiene como objetivo proporcionar lineamientos para la formulación de la planificación institucional, así como el plan de transparencia y ética pública.</t>
  </si>
  <si>
    <t>Durante la sesión 1 del Comité de Gestión y Desempeño, del pasado 29 de enero de 2025, se realizó seguimiento a los avances de la planeación institucional del 2024 mostrando los entregables que quedaron pendientes por ejecución durante el 2024: Uno (1) de la Secretaría General, nombrado: “Etapa Post - contractual gestionada con énfasis en la eficiencia del gasto”, llegando al 26,80% de ejecución. Otro de la Oficina Asesora de Planeación, nombrado: “Estratégico Metodología de Presupuesto Orientado a Resultado implementada” llegando a un 75% de ejecución. (3) La Dirección de Desarrollo Organizacional - Subdirección - Dirección de Empleo Público Estratégico con el entregable “Plan de Formalización del empleo público implementado” de 40000 empleos se tienen 5292. (4) El Grupo de Gestión Documental con el entregable “Procesos documentales según disposición final de los documentos de la Entidad adelantados” con un avance del 60%.</t>
  </si>
  <si>
    <t xml:space="preserve">Durante el mes de enero de 2025 la Oficina de Control Interno presentó los informes por dependencias, los cuales contenían un análisis de la gestión de cada dependencia con respecto a los entregables comprometidos en la planeación institucional, determinando su impacto y relación con los objetivos institucionales. El mismo mes, fue presentado el seguimiento al Plan Anticorrupción y Atención al Ciudadano, el cual responde al avance de los entregables comprometidos en el Plan de Acción Institucional, el cual va en línea con los objetivos operativos del Departamento. </t>
  </si>
  <si>
    <t>6.2 Los objetivos de los procesos, programas o proyectos (según aplique) que están definidos, son específicos, medibles, alcanzables, relevantes, delimitados en el tiempo.</t>
  </si>
  <si>
    <t>Dimension de Gestion con Valores para Resultado
Politica de Fortalecimiento Organizacional y Simplificaciòn de Procesos</t>
  </si>
  <si>
    <t>1. A través del Sistema de Gestión Institucional - SGI, se definen metas, responsables y tiempos de ejecución de los entregables.
2. La entidad cuenta con el Manual Sistema Integrado de Planeación y Gestión - SIPG.</t>
  </si>
  <si>
    <t>Durante la sesión dos (2) del Comité de Gestión y Desempeño Institucional del 26 de febrero de 2025,  se informó a los miembros la presentación del rediseño de procesos misionales, desarrollado durante el 2024, y adelantado por el GMI y la DDO.</t>
  </si>
  <si>
    <t>Durante el mes de enero de 2025, la Oficina de Control Interno presentó el informe de Evaluación por Dependencias, dejando comentarios referentes a los programas, proyectos y entregables en la planeación institucional.
Periódicamente se realiza seguimiento a las metas y entregables, en los tiempos establecidos, por parte de los responsables, a través del SGI.</t>
  </si>
  <si>
    <t xml:space="preserve">Durante la sesión tres (3) del Comité de Gestión y Desempeño Institucional, del pasado 24 de junio, quedo como compromiso a 30/07/2025 la Finalización de la documentación de procesos y procedimientos, con ocasión al rediseño institucional. </t>
  </si>
  <si>
    <t>6.3 La Alta Dirección evalúa periódicamente los objetivos establecidos para asegurar que estos continúan siendo consistentes y apropiados para la Entidad.</t>
  </si>
  <si>
    <t>Dimension de Direccionamiento Estratetegico y Planeacion.
Politica de Planeacion Institucional
Dimension Control Interno
Linea Estrategica</t>
  </si>
  <si>
    <t xml:space="preserve">A través de las sesiones de los Comités Directivos, y los Comités de Gestión y Desempeño, la alta dirección revisa los objetivos estratégicos con el fin de que sean consistentes y apropiados para la entidad. Del mismo modo, durante la planeación institucional de la vigencia, la OAP en compañía de las diferentes dependencias, determinan en su Plan de Acción a que objetivo institucional estaría anudado dicha acción. </t>
  </si>
  <si>
    <t>Mediante las sesiones de los Comités Directivos, se evaluación del cumplimiento y avance de las metas institucionales.</t>
  </si>
  <si>
    <t>Durante el mes de enero de 2025 la Oficina de Control Interno presentó los informes por dependencias, los cuales contenían un análisis de la gestión de cada dependencia con respecto a los entregables comprometidos en la planeación institucional, determinando su impacto y relación con los objetivos institucionales.</t>
  </si>
  <si>
    <t xml:space="preserve">Durante la sesión 1 del Comité de Gestión y Desempeño, del 29 de enero de 2025, se realizó seguimiento a los avances de la planeación institucional del 2024 mostrando los entregables que quedaron pendientes por ejecución durante el 2024. </t>
  </si>
  <si>
    <r>
      <rPr>
        <b/>
        <u/>
        <sz val="11"/>
        <color theme="0"/>
        <rFont val="Arial Narrow"/>
        <family val="2"/>
      </rPr>
      <t xml:space="preserve">Lineamiento 7: 
</t>
    </r>
    <r>
      <rPr>
        <b/>
        <sz val="11"/>
        <color theme="0"/>
        <rFont val="Arial Narrow"/>
        <family val="2"/>
      </rPr>
      <t xml:space="preserve">Identificación y análisis de riesgos (Analiza factores internos y externos; Implica a los niveles apropiados de la dirección; Determina cómo responder a los riesgos; Determina la importancia de los riesgos). 
</t>
    </r>
  </si>
  <si>
    <t>7.1 Teniendo en cuenta la estructura de la política de Administración del Riesgo, su alcance define lineamientos para toda la entidad, incluyendo regionales, áreas tercerizadas u otras instancias que afectan la prestación del servicio.</t>
  </si>
  <si>
    <t>La entidad cuenta actualmente con la Política de Administración del Riesgo en su versión 20, en donde se define el alcance de la política, de acuerdo al MIPG. Sin embargo, en Función Pública no se cuentan con regionales, áreas tercerizadas u otras instancias que afecten la prestación del servicio.</t>
  </si>
  <si>
    <t xml:space="preserve">En el mes de junio de 2025 se realizó el Comité Institucional de Coordinación de Control Interno y se presentaron las recomendaciones </t>
  </si>
  <si>
    <t>Durante la sesión tres (3) del Comité de Gestión y Desempeño, el delegado de la OCI solicito aprobar la política de riesgos en la sesión del Comité de Control Interno de acuerdo con las funciones de este Comité.
Se recomienda la actualización de la política de riesgos conforme a los lineamientos de la Guía de Administración de Riesgos versión 7</t>
  </si>
  <si>
    <t>En el Comité uno (1) de Gestión y Desempeño, del pasado 29 de enero, se dejó dentro del plan de trabajo del 2025, actualizar la política de administración de riesgos articulada con el programa de transparencia y ética pública, y en cuanto a la definición de controles para los riesgos fiscales, de fuga de conocimiento y de integridad.</t>
  </si>
  <si>
    <t>7.2 La Oficina de Planeación, Gerencia de Riesgos (donde existan), como 2a línea de defensa, consolidan información clave frente a la gestión del riesgo.</t>
  </si>
  <si>
    <t>Dimension Control Interno 
Lineas de Defensa</t>
  </si>
  <si>
    <t>La entidad tiene definido y documentando en la Política de Administración de Riesgos v20, la responsabilidad de la segunda línea de defensa frente a la consolidación del Mapa de Riesgos Institucional a partir de la información reportada por cada uno de los procesos (mapa de riesgo del proceso). Adicionalmente, la entidad cuenta con el Sistema de Gestión Institucional - SGI el cual permite consolidar toda la información referente a entregables, actividades de la planeación institucional, gestión de riesgos, de gestión, corrupción y seguridad de la información, indicadores, planes de mejoramiento entre otros.</t>
  </si>
  <si>
    <t>Actualmente se tiene pendiente la identificación de controles de los riesgos incorporados en la política de riesgos del 2024, referente a riesgos fiscales, de integridad y los de fuga de conocimiento.
Se recomienda la actualización de la política de riesgos conforme a los lineamientos de la Guía de Administración de Riesgos versión 7</t>
  </si>
  <si>
    <t>En la sesión uno (1) del Comité de Gestión y Desempeño, del pasado 29 de enero, se aprobó el Plan Institucional de Gestión del Riesgo para la vigencia 2025.</t>
  </si>
  <si>
    <t xml:space="preserve">Así mismo, en la sesión uno (1) del CIGD, del pasado 29 de enero  quedo en el plan de trabajo del 2025, la actualización de la política de riesgos para la vigencia 2025. </t>
  </si>
  <si>
    <t>Durante la sesión tres (3) del Comité de Gestión y Desempeño Institucional, del pasado 24 de junio de 2025, se presentó el estado actual de los riesgos en Función Pública: Se tienen identificados 96 riesgos en total, 70 de gestión, 8 de corrupción y 18 de seguridad digital</t>
  </si>
  <si>
    <t>7.3 A partir de la información consolidada y reportada por la 2a línea de defensa (7.2), la Alta Dirección analiza sus resultados y en especial considera si se han presentado materializaciones de riesgo.</t>
  </si>
  <si>
    <t>En el Sistema Integrado de Planeación y Gestión del DAFP, el proceso de Direccionamiento Estratégico, cuenta con el procedimiento de Administración de Riesgos V9 julio de 2024, el cual busca “gestionar los riesgos de la entidad, teniendo como referente la política y la metodología vigente, con el fin de evitar posibles afectaciones de su misionalidad, objetivos estratégicos y gestión de sus procesos, planes y proyectos.”</t>
  </si>
  <si>
    <t>La identificación del riesgo materializado fue descrito mediante el informe de Austeridad en el gasto del primer trimestre de 2025, producto del análisis desarrollado por la Oficina de Control Interno. 
Se recomienda la actualización de la política de riesgos conforme a los lineamientos de la Guía de Administración de Riesgos versión 7</t>
  </si>
  <si>
    <t>Durante la sesión tres (3) del Comité de Gestión y Desempeño, del pasado 24 de junio de 2025, informó la OAP sobre la materialización de un riesgo,  para las áreas de talento humano y financiera, asociado con el pago de comisiones, el cual se encuentra pendiente del registro de acciones en el Plan de Mejoramiento</t>
  </si>
  <si>
    <t>7.4 Cuando se detectan materializaciones de riesgo, se definen los cursos de acción en relación con la revisión y actualización del mapa de riesgos correspondiente.</t>
  </si>
  <si>
    <t>Dimension de Direccionamiento Estratetegico y Planeacion.
Politica de Planeacion Institucional
Dimension Control Interno 
Lineas de Defensa</t>
  </si>
  <si>
    <t>En el marco del Sistema de Gestión Institucional -SGI, la OAP, cuenta con el procedimiento de administración de riesgos V9 de julio de 2024, en el cual se establece el proceder de la primera línea frente a la materialización del algún riesgo. Adicionalmente, en la Política de Administración del Riesgos V20 de julio de 2024 se detallan los lineamientos a seguir frente a la materialización del riesgo para cada una de las líneas de defensa.</t>
  </si>
  <si>
    <t>Durante la sesión tres (3) del Comité de Gestión y Desempeño, del pasado 24 de junio, informó la OAP sobre la materialización de un riesgo, para las áreas de talento humano y financiera, asociado con el pago de comisiones, el cual se encuentra pendiente del registro de acciones en el Plan de Mejoramiento Institucional.</t>
  </si>
  <si>
    <t>7.5 Se llevan a cabo seguimientos a las acciones definidas para resolver materializaciones de riesgo detectadas.</t>
  </si>
  <si>
    <t>Dimension de Evaluacion de Resultados 
Politica de Seguimiento y evaluacion al Desempeño Institucional.
Dimension Control Interno 
Lineas de Defensa</t>
  </si>
  <si>
    <r>
      <t xml:space="preserve">En el marco del Sistema Integrado de Planeación y Gestión Institucional -SIPG, la OAP, cuenta con el procedimiento de administración de riesgos V10 de febrero de 2025, en el cual se establece el proceder de la primera línea frente a la materialización del algún riesgo. Adicionalmente, en la Política de Administración del Riesgos V20 de julio de 2024 se detallan los lineamientos a seguir frente a la materialización del riesgo para cada una de las líneas de defensa.
</t>
    </r>
    <r>
      <rPr>
        <sz val="11"/>
        <color theme="4"/>
        <rFont val="Arial Narrow"/>
        <family val="2"/>
      </rPr>
      <t xml:space="preserve">A través del SIPG en el proceso de Mejoramiento Institucional se cuenta con el procedimiento Administración del plan de mejoramiento institucional del 29 de julio de 2024. </t>
    </r>
  </si>
  <si>
    <t xml:space="preserve">Durante el mes de mayo la OCI presentó el informe de seguimiento al Plan de Mejoramiento Institucional donde se hizo seguimiento, comentarios y observaciones a 52 hallazgos, como parte de la estrategia de depuración de hallazgos adelantada por la OAP y la OCI. </t>
  </si>
  <si>
    <t>Durante la sesión tres (3) del Comité de Gestión y Desempeño, del 24 de junio de 2025, informó la OAP sobre la materialización de un riesgo, para las áreas de talento humano y financiera, asociado con el pago de comisiones, el cual se encuentra pendiente del registro de acciones en el Plan de Mejoramiento Institucional.</t>
  </si>
  <si>
    <r>
      <rPr>
        <b/>
        <u/>
        <sz val="11"/>
        <color theme="0"/>
        <rFont val="Arial Narrow"/>
        <family val="2"/>
      </rPr>
      <t xml:space="preserve">Lineamiento 8: 
</t>
    </r>
    <r>
      <rPr>
        <b/>
        <sz val="11"/>
        <color theme="0"/>
        <rFont val="Arial Narrow"/>
        <family val="2"/>
      </rPr>
      <t xml:space="preserve">Evaluación del riesgo de fraude o corrupción. 
Cumplimiento artículo 73 de la Ley 1474 de 2011, relacionado con la prevención de los riesgos de corrupción.
</t>
    </r>
  </si>
  <si>
    <t>8.1 La Alta Dirección acorde con el análisis del entorno interno y externo, define los procesos, programas o proyectos (según aplique), susceptibles de posibles actos de corrupción.</t>
  </si>
  <si>
    <t>La entidad tiene establecido dentro de la Política de Administración del Riesgo V20.  2024, los lineamientos para la identificación de riesgos de corrupción señalando: ““Función Pública se compromete a administrar los riesgos institucionales de gestión, corrupción, fiscales y seguridad digital, mediante el cumplimiento de la metodología propia y las acciones de control detectivas y preventivas oportunas que permitan i) evitar la materialización ii)) corregir de manera inmediata las eventualidades presentadas y iii) mitigar las consecuencias ante posibles materializaciones en los diferentes ámbitos institucionales””</t>
  </si>
  <si>
    <t>En el mapa de riesgos institucional, se identificaron 8 riesgos de corrupción que se mantienen monitoreados periódicamente en el SGI.</t>
  </si>
  <si>
    <t>8.2 La Alta Dirección monitorea los riesgos de corrupción con la periodicidad establecida en la Política de Administración del Riesgo.</t>
  </si>
  <si>
    <t>Dimension de Control Interno
Linea Estrategica</t>
  </si>
  <si>
    <t xml:space="preserve">La política de Administración del Riesgo v20, establece que "De manera trimestral, la Oficina Asesora de Planeación reporta ante el Comité de Gestión y Desempeño y cuando el Comité de Control Interno lo requiera, el avance y desviaciones del mapa de riesgos institucional." </t>
  </si>
  <si>
    <t>Actualmente se tiene pendiente la identificación de controles de los riesgos incorporados en la política de riesgos del 2024, referente a riesgos fiscales, de integridad y los de fuga de conocimiento, se recomienda ajustar y aprobar las modificaciones a la política en el Comité de Coordinación de Control Interno.
Se recomienda la actualización de la política de riesgos conforme a los lineamientos de la Guía de Administración de Riesgos versión 7</t>
  </si>
  <si>
    <t xml:space="preserve">Durante dos (2) sesiones del Comités de Gestión y Desempeño Institucional, del pasado, 29 de enero,  24 de junio de 2025, se presentó el estado actual de los riesgos en Función Pública. </t>
  </si>
  <si>
    <t>Durante la sesión tres (3) del Comité de Gestión y Desempeño, del 24 de junio de 2025, informó la OAP sobre la materialización de un riesgo, para las áreas de talento humano y financiera, asociado con el pago de comisiones, el cual se encuentra pendiente del registro de acciones.</t>
  </si>
  <si>
    <t>8.3 Para el desarrollo de las actividades de control, la entidad considera la adecuada división de las funciones y que éstas se encuentren segregadas en diferentes personas para reducir el riesgo de acciones fraudulentas.</t>
  </si>
  <si>
    <t>Dimension de Contro Interno
Lineas de Defensa</t>
  </si>
  <si>
    <t>1. En Función Pública la segregación de responsabilidades frente a los riesgos, está definida mediante las líneas de defensa: Línea Estratégica, Primera Línea, Segunda Línea, Tercera Línea. Dichas responsabilidades se encuentran descritas en la Política de Administración del Riesgo v20 del 2024. 
2. La entidad cuenta con el "Instructivo Metodología de Riesgos - Usuarios" o Manual de usuario - Módulo de riesgos del SGI, el cual contiene los lineamientos para el desarrollo de las actividades de control. 
3. En el proceso de Dirección y Estrategia, se encuentra cargada la Matriz de responsabilidad y autoridad, contenida en el SIPG.</t>
  </si>
  <si>
    <t xml:space="preserve">Durante dos (2) sesiones del Comités de Gestión y Desempeño Institucional, del pasado, 29 de enero,  24 de junio de 2025, se presentó el estado actual de los riesgos en Función Pública: </t>
  </si>
  <si>
    <t>Se aplica la segregación de funciones en diferentes áreas de apoyo de Función Pública.
Se recomienda la actualización de la política de riesgos conforme a los lineamientos de la Guía de Administración de Riesgos versión 7</t>
  </si>
  <si>
    <t>8.4 La Alta Dirección evalúa fallas en los controles (diseño y ejecución) para definir cursos de acción apropiados para su mejora.</t>
  </si>
  <si>
    <t xml:space="preserve">El Departamento tiene establecido la responsabilidad frente al riesgo mediante la matriz de Niveles de Autoridad y Responsabilidad y las líneas de defensa. Dichas responsabilidades están descritas en la Política Administración del Riesgo en Función Pública v 20. </t>
  </si>
  <si>
    <t>Mediante el informe de Evaluación por Dependencias la OCI realiza una revisión de riesgos, y de la gestión adelantada frente a los entregables de la planeación institucional.</t>
  </si>
  <si>
    <t>Durante la sesión uno (1) del Comité de Gestión y Desempeño Institucional, del pasado 29 de enero de 2025, quedo aprobado la identificación de controles con las áreas que identificaron riesgos de tipo fiscal, de fuga de conocimiento y de integridad, tarea actualmente pendiente por finalizar.</t>
  </si>
  <si>
    <r>
      <t xml:space="preserve">Durante la sesión tres (3) del CIGD, </t>
    </r>
    <r>
      <rPr>
        <sz val="11"/>
        <rFont val="Arial Narrow"/>
        <family val="2"/>
      </rPr>
      <t xml:space="preserve">24 de junio de 2025, </t>
    </r>
    <r>
      <rPr>
        <sz val="11"/>
        <color theme="1"/>
        <rFont val="Arial Narrow"/>
        <family val="2"/>
      </rPr>
      <t xml:space="preserve">se informó al comité que desde la OAP se cumplió con el compromiso con todas las dependencias, mediante 27 mesas de trabajo, de revisión y modificación a los riesgos y controles </t>
    </r>
  </si>
  <si>
    <r>
      <rPr>
        <b/>
        <u/>
        <sz val="11"/>
        <color theme="0"/>
        <rFont val="Arial Narrow"/>
        <family val="2"/>
      </rPr>
      <t xml:space="preserve">
Lineamiento 9:</t>
    </r>
    <r>
      <rPr>
        <b/>
        <sz val="11"/>
        <color theme="0"/>
        <rFont val="Arial Narrow"/>
        <family val="2"/>
      </rPr>
      <t xml:space="preserve"> </t>
    </r>
    <r>
      <rPr>
        <sz val="11"/>
        <color theme="0"/>
        <rFont val="Arial Narrow"/>
        <family val="2"/>
      </rPr>
      <t xml:space="preserve">Identificación y análisis de cambios significativos </t>
    </r>
  </si>
  <si>
    <t>9.1 Acorde con lo establecido en la política de Administración del Riesgo, se monitorean los factores internos y externos definidos para la entidad, a fin de establecer cambios en el entorno que determinen nuevos riesgos o ajustes a los existentes.</t>
  </si>
  <si>
    <t>Dimension de Direccionamiento Estrategico 
Politica de Planeacion Institucional</t>
  </si>
  <si>
    <t>La política de administración del riesgo v20 de 2024, cuenta con el análisis de factores internos y externos definidos para la entidad, a fin de establecer estrategias frente a cambios en el entorno que determinen nuevos riesgos o ajustes en la identificación de los existentes.</t>
  </si>
  <si>
    <t>Durante la sesión tres (3) del Comité de Gestión y Desempeño, el delegado de la OCI solicito aprobar la política de riesgos en la sesión del Comité de Control Interno de acuerdo a las funciones de este Comité.</t>
  </si>
  <si>
    <t>En el primer (1) Comité Institucional de Gestión y Desempeño, quedo aprobado para el 2025, la actualización de la política de riesgos con la inclusión de los controles a los riesgos identificados de tipo Fiscal, Integridad y Fuga de conocimiento</t>
  </si>
  <si>
    <t xml:space="preserve">Durante la sesión tres (3) del CIGD, del 24 de junio de 2025, se informó al comité que desde la OAP se cumplió con el compromiso con todas las dependencias, mediante 27 mesas de trabajo, de revisión y modificación a los riesgos y controles </t>
  </si>
  <si>
    <t>9.2 La Alta Dirección analiza los riesgos asociados a actividades tercerizadas, regionales u otras figuras externas que afecten la prestación del servicio a los usuarios, basados en los informes de la segunda y tercera linea de defensa.</t>
  </si>
  <si>
    <t>Dimension de Control Interno
Lineas de Defensa</t>
  </si>
  <si>
    <t xml:space="preserve">La entidad no cuenta con actividades tercerizadas. </t>
  </si>
  <si>
    <t>9.3 La Alta Dirección monitorea los riesgos aceptados revisando que sus condiciones no hayan cambiado y definir su pertinencia para sostenerlos o ajustarlos.</t>
  </si>
  <si>
    <t>En la Política de Administración del Riesgo v20 se establecen responsabilidades para el monitoreo de los riesgos, el mapa de riesgos a cargo de la OAP y el seguimiento de la tercera línea de defensa, las cuales presentan a la alta dirección los resultados de gestión.</t>
  </si>
  <si>
    <t>Con corte a 30 de junio, se tiene pendiente la identificación de controles de los riesgos incorporados en la política de riesgos del 2024, referente a riesgos fiscales, de integridad y los de fuga de conocimiento, se recomienda ajustar y aprobar las modificaciones a la política en el Comité de Coordinación de Control Interno. La identificación del riesgo materializado fue descrito mediante el informe de Austeridad en el gasto del primer trimestre de 2025, producto del análisis desarrollado por la Oficina de Control Interno.
Se recomienda la actualización de la política de riesgos conforme a los lineamientos de la Guía de Administración de Riesgos versión 7</t>
  </si>
  <si>
    <r>
      <t xml:space="preserve">Durante la sesión tres (3) del CIGD, </t>
    </r>
    <r>
      <rPr>
        <sz val="11"/>
        <rFont val="Arial Narrow"/>
        <family val="2"/>
      </rPr>
      <t xml:space="preserve">del 24 de junio de 2025, </t>
    </r>
    <r>
      <rPr>
        <sz val="11"/>
        <color theme="1"/>
        <rFont val="Arial Narrow"/>
        <family val="2"/>
      </rPr>
      <t xml:space="preserve">se informó al comité que desde la OAP se cumplió con el compromiso con todas las dependencias, mediante 27 mesas de trabajo, de revisión y modificación a los riesgos y controles </t>
    </r>
  </si>
  <si>
    <r>
      <t>Durante la sesión tres (3) del Comité de Gestión y Desempeño,</t>
    </r>
    <r>
      <rPr>
        <sz val="11"/>
        <rFont val="Arial Narrow"/>
        <family val="2"/>
      </rPr>
      <t xml:space="preserve"> del 24 de junio de 2025,</t>
    </r>
    <r>
      <rPr>
        <sz val="11"/>
        <color theme="1"/>
        <rFont val="Arial Narrow"/>
        <family val="2"/>
      </rPr>
      <t xml:space="preserve">  informó la OAP sobre la materialización de un riesgo materializado para las áreas de talento humano y financiera, asociado con el pago de comisiones, el cual se encuentra pendiente del registro de acciones.</t>
    </r>
  </si>
  <si>
    <t>9.4 La Alta Dirección evalúa fallas en los controles (diseño y ejecución) para definir cursos de acción apropiados para su mejora, basados en los informes de la segunda y tercera linea de defensa.</t>
  </si>
  <si>
    <t xml:space="preserve">En la Política de Administración del Riesgo v20 se encuentra descrita la responsabilidad frente al riesgo a través de las líneas de defensa. </t>
  </si>
  <si>
    <t>Actualmente se tiene pendiente la identificación de controles de los riesgos incorporados en la política de riesgos del 2024, referente a riesgos fiscales, de integridad y los de fuga de conocimiento, se recomienda ajustar y aprobar las modificaciones a la política en el Comité de Coordinación de Control Interno. 
Durante el mes de enero de 2025 la Oficina de Control Interno presentó los informes por dependencias, los cuales contenían un análisis de la gestión de cada dependencia con respecto a los controles.
Se recomienda la actualización de la política de riesgos conforme a los lineamientos de la Guía de Administración de Riesgos versión 7</t>
  </si>
  <si>
    <r>
      <t xml:space="preserve">En el primer (1) Comité Institucional de Gestión y Desempeño, </t>
    </r>
    <r>
      <rPr>
        <sz val="11"/>
        <rFont val="Arial Narrow"/>
        <family val="2"/>
      </rPr>
      <t>del 29 de enero,</t>
    </r>
    <r>
      <rPr>
        <sz val="11"/>
        <color theme="1"/>
        <rFont val="Arial Narrow"/>
        <family val="2"/>
      </rPr>
      <t xml:space="preserve"> quedo aprobado para el 2025, la actualización de la política de riesgos con la inclusión de los controles a los riesgos identificados de tipo Fiscal, Integridad y Fuga de conocimiento</t>
    </r>
  </si>
  <si>
    <r>
      <t xml:space="preserve">Durante la sesión tres (3) del Comité Institucional de Gestión y Desempeño Institucional, </t>
    </r>
    <r>
      <rPr>
        <sz val="11"/>
        <rFont val="Arial Narrow"/>
        <family val="2"/>
      </rPr>
      <t xml:space="preserve">del 24 de junio de 2025, </t>
    </r>
    <r>
      <rPr>
        <sz val="11"/>
        <color theme="1"/>
        <rFont val="Arial Narrow"/>
        <family val="2"/>
      </rPr>
      <t>el jefe de la OTIC manifestó la importancia de renovar la licencia de Microsoft durante el mes de septiembre a fin de evitar la materialización de tres riesgos operativos.</t>
    </r>
  </si>
  <si>
    <t>9.5 La entidad analiza el impacto sobre el control interno por cambios en los diferentes niveles organizacionales.</t>
  </si>
  <si>
    <t>Dimension de Direccionamiento Estrategico y Planeacion
Politica de Planeacion Institucional
Dimension de Control Interno
Linea Estrategica</t>
  </si>
  <si>
    <t>En la Política de Administración de Riesgos v20, se tiene en cuenta el análisis del contexto interno y externo que puede llegar a afectar los niveles organizacionales, para ello define unas responsabilidades a la Oficina de Control Interno.</t>
  </si>
  <si>
    <t xml:space="preserve">Durante la sesión tres (3) del Comité de Gestión y Desempeño, el delegado de la OCI solicito aprobar la política de riesgos en la sesión del Comité de Control Interno de acuerdo a las funciones  de este Comité.
Se recomienda la actualización de la política de riesgos conforme a los lineamientos de la Guía de Administración de Riesgos versión 7
</t>
  </si>
  <si>
    <t>Durante el primer Comité de Gestión y Desempeño en su sesión 1, se compartió a los miembros, que durante 2025, quedó pendiente la vinculación 25 cargos de Carrera Administrativa ofertados en el concurso de mérito de Entidades del Orden Nacional No. 2249 de 2022</t>
  </si>
  <si>
    <t>ACTIVIDADES DE CONTROL</t>
  </si>
  <si>
    <t>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t>
  </si>
  <si>
    <r>
      <rPr>
        <b/>
        <u/>
        <sz val="11"/>
        <color theme="0"/>
        <rFont val="Arial Narrow"/>
        <family val="2"/>
      </rPr>
      <t xml:space="preserve">
Lineamiento 10: 
</t>
    </r>
    <r>
      <rPr>
        <b/>
        <sz val="11"/>
        <color theme="0"/>
        <rFont val="Arial Narrow"/>
        <family val="2"/>
      </rPr>
      <t>Diseño y desarrollo de actividades de control (Integra el desarrollo de controles con la evaluación de riesgos; tiene en cuenta a qué nivel se aplican las actividades; facilita la segregación de funciones).</t>
    </r>
  </si>
  <si>
    <r>
      <t>Explicación de cómo la Entidad</t>
    </r>
    <r>
      <rPr>
        <b/>
        <u/>
        <sz val="11"/>
        <color theme="0"/>
        <rFont val="Arial Narrow"/>
        <family val="2"/>
      </rPr>
      <t xml:space="preserve"> 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</si>
  <si>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Funcionando</t>
    </r>
    <r>
      <rPr>
        <i/>
        <sz val="11"/>
        <color theme="0"/>
        <rFont val="Arial Narrow"/>
        <family val="2"/>
      </rPr>
      <t xml:space="preserve">
(1/2/3)</t>
    </r>
  </si>
  <si>
    <t>10.1 Para el desarrollo de las actividades de control, la entidad considera la adecuada división de las funciones y que éstas se encuentren segregadas en diferentes personas para reducir el riesgo de error o de incumplimientos de alto impacto en la operación.</t>
  </si>
  <si>
    <r>
      <t xml:space="preserve">La entidad cuenta con el Manual de Funciones y Competencias Laborales, todas las disposiciones se encuentran regladas a través de las siguientes:  la Resolución 673 del 13 de octubre de 2023, la Resolución 259 del 27 de abril de 2021, la Resolución 158 del 24 de febrero de 2021, la Resolución 002 del 01 de enero de 2021, la Resolución No. 292 del 05 de agosto de 2020, la Resolución 186 del 14 de mayo de 2020, la Resolución 772 del 30 de diciembre de 2019 y la Resolución 425 del 11 de agosto de 2023. </t>
    </r>
    <r>
      <rPr>
        <sz val="11"/>
        <color theme="4"/>
        <rFont val="Arial Narrow"/>
        <family val="2"/>
      </rPr>
      <t>DECRETO 1603 de 2023. 
La Matriz de Autoridad y Responsabilidad, establece una división de responsables dependiendo su rol en el Departamento.</t>
    </r>
  </si>
  <si>
    <t>Durante los Comités de Gestión y Desempeño y Directivos, realizados durante el semestre, cada responsable informa sobre los avances de sus funciones roles en la gestión desarrollada.</t>
  </si>
  <si>
    <t>Como resultado de los informes de evaluación y seguimiento a la gestión institucional, realizados por la OCI, se evidencia la segregación de funciones que permite identificar diferentes roles en cada proceso.</t>
  </si>
  <si>
    <t xml:space="preserve">10.2 Se han idenfificado y documentado las situaciones específicas en donde no es posible segregar adecuadamente las funciones (ej: falta de personal, presupuesto), con el fin de definir actividades de control alternativas para cubrir los riesgos identificados. </t>
  </si>
  <si>
    <t>1. Proceso de Direccionamiento Estratégico, cuenta con el proceso de Administración de Riesgos.
2. Política de Administración del Riesgo en Función Pública v20. Contiene responsables y lineamientos frente al riesgos. 
3. La Matriz de Autoridad y Responsabilidad, establece una división de responsables dependiendo su rol en el Departamento.</t>
  </si>
  <si>
    <r>
      <t xml:space="preserve">Con ocasión al concurso de méritos adelantado por la CNSC en Función Pública, se identificó una categoría de riesgo no identificada hasta entonces que tiene que ver con la fuga del conocimiento por rotación de personal al interior del Departamento. 
</t>
    </r>
    <r>
      <rPr>
        <sz val="11"/>
        <color theme="4"/>
        <rFont val="Arial Narrow"/>
        <family val="2"/>
      </rPr>
      <t xml:space="preserve">La OCI ha identificado la recurrencia de solicitud de personal de apoyo para la OTIC, la OREC, y la OCI quienes han reportado falta de personal para cumplir al 100% de las funciones establecidas. </t>
    </r>
  </si>
  <si>
    <t xml:space="preserve">Durante la sesión cuatro (4) del Comité Directivo, del pasado 31 de marzo de 2025, quedo como compromiso el seguimiento a la propuesta de traslado de personal a la OREC, con el fin de mitigar la contingencia dado el alto flujo de peticiones a través de los canales escritos: ORFEO, Proactivanet, canal telefónico, chat y presencial </t>
  </si>
  <si>
    <t>Durante la sesión tres (3) del Comité Institucional de Gestión y Desempeño Institucional, del pasado 24 de junio de 2025, el jefe de la OTIC manifestó la importancia de renovar la licencia de Microsoft durante el mes de septiembre a fin de evitar la materialización de tres riesgos operativos, dada la falta de presupuesto.</t>
  </si>
  <si>
    <t>10.3 El diseño de otros  sistemas de gestión (bajo normas o estándares internacionales como la ISO), se intregan de forma adecuada a la estructura de control de la entidad.</t>
  </si>
  <si>
    <t xml:space="preserve">
Dimension de Gestion con Valores para Resultados
Dimension de Control Interno
Lineas de Defensa</t>
  </si>
  <si>
    <t xml:space="preserve">El DAFP diseña sus sistemas de gestión basado en lineamientos y estándares internacionales como el MIPG, MECI, NTC PE 1000:2020, las directrices estadísticas del DANE, la Ley 1712 de 2014 sobre transparencia y acceso a la información, la Ley 594 de 2000 sobre archivo. </t>
  </si>
  <si>
    <t xml:space="preserve">Durante la sesión tres (3) del Comité Institucional de Gestión y Desempeño Institucional, del pasado 24 de junio, se dio a conocer el programa de auditorías de segunda línea bajo la norma NTC PE 1000 2020, para la certificación FURAG.  </t>
  </si>
  <si>
    <t xml:space="preserve">Mediante correo electrónico del 12 de febrero de 2025, la OCI solicitó que Una vez se haya definido la fecha de la auditoria interna,se solicite incluirla en el Plan Anual de Auditorias y Seguimientos y llevarlo a aprobación ante el Comité Institucional de Coordinación de Control Interno. </t>
  </si>
  <si>
    <t>Con corte a 30 de junio, en la entidad se encuentra en curso la caracterización de procesos y procedimientos que modificaría el SIPG de Función Pública, orientando los procesos misionales a cumplir con los objetivos sectoriales e institucionales</t>
  </si>
  <si>
    <r>
      <rPr>
        <b/>
        <u/>
        <sz val="11"/>
        <color theme="0"/>
        <rFont val="Arial Narrow"/>
        <family val="2"/>
      </rPr>
      <t xml:space="preserve">Lineamiento 11: 
</t>
    </r>
    <r>
      <rPr>
        <b/>
        <sz val="11"/>
        <color theme="0"/>
        <rFont val="Arial Narrow"/>
        <family val="2"/>
      </rPr>
      <t>Seleccionar y Desarrolla controles generales sobre TI para apoyar la consecución de los objetivos .</t>
    </r>
  </si>
  <si>
    <t>11.1 La entidad establece actividades de control relevantes sobre las infraestructuras tecnológicas; los procesos de gestión de la seguridad y sobre los procesos de adquisición, desarrollo y mantenimiento de tecnologías.</t>
  </si>
  <si>
    <t xml:space="preserve">Dimension de Gestion con Valores para el Resultado
Politica de Gobierno Digital 
Politica de Seguridad Digital
</t>
  </si>
  <si>
    <t xml:space="preserve">1. Función Pública tiene establecido el Manual del Sistema de Gestión Integrado -SGI para la administración de riesgos.
2. Plan Estratégico de tecnologías de la información -PETI- 2025. 
3. La Política de Administración de Riesgo contempla los relacionados con la seguridad de la información, tecnológicos y de gestión" 
4. y el Plan Estratégico de Continuidad en el Negocio. 
</t>
  </si>
  <si>
    <t>Durante la sesión tres (3) del Comité Institucional de Gestión y Desempeño Institucional, del pasado 24 de junio, el jefe de la OTIC manifestó la importancia de renovar la licencia de Microsoft durante el mes de septiembre a fin de evitar la materialización de tres riesgos operativos</t>
  </si>
  <si>
    <t>La OCI presentó durante el mes de marzo el informe de seguimiento a los requerimientos de Derechos de Autor de la vigencia 2024, dejando comentarios y conclusiones referentes al proceso de tecnologías de la información del Departamento. También, durante el mes de mayo de 2025, la OCI presentó observaciones y recomendaciones referentes a la infraestructura tecnológica del Departamento.</t>
  </si>
  <si>
    <t>Con corte a 30 de junio, se encuentra pendiente la identificación de controles para las nuevas categorías de riesgo incluidas en la política: Fiscales, de fuga de conocimiento y de integridad.</t>
  </si>
  <si>
    <t>11.2  Para los proveedores de tecnología  selecciona y desarrolla actividades de control internas sobre las actividades realizadas por el proveedor de servicios.</t>
  </si>
  <si>
    <t>La entidad cuenta en el proceso: Gestión de Recursos, en el subproceso: Gestión Contractual, en su Procedimiento: Supervisión. Adicionalmente cuenta con el Manual de Contratación del Departamento Administrativo de la Función Pública. (Numeral 7.2 lineamientos generales para el ejercicio de la supervisión).</t>
  </si>
  <si>
    <t xml:space="preserve">Durante el primer semestre de 2025, la OTIC ha suscrito 16 contratos, 13 de contratación directa y 3 de minima cuantía, referente al apoyo tecnologico necesario para cumplir con las funciones de la Oficina. </t>
  </si>
  <si>
    <r>
      <t xml:space="preserve">La OCI presentó el Informe de Seguimiento a la Supervisión de Contratos de la vigencia 2024, dentro del cual se analizaron contratos de Tecnologías de la Información, donde se presentan recomendaciones y análisis en virtud del manual de supervisión del departamento.
</t>
    </r>
    <r>
      <rPr>
        <sz val="11"/>
        <color rgb="FFFF0000"/>
        <rFont val="Arial Narrow"/>
        <family val="2"/>
      </rPr>
      <t xml:space="preserve">
</t>
    </r>
    <r>
      <rPr>
        <sz val="11"/>
        <color theme="4"/>
        <rFont val="Arial Narrow"/>
        <family val="2"/>
      </rPr>
      <t>También, durante el mes de mayo de 2025, la OCI presentó observaciones y recomendaciones referentes a la infraestructura tecnologica del Departamento</t>
    </r>
    <r>
      <rPr>
        <sz val="11"/>
        <color rgb="FFFF0000"/>
        <rFont val="Arial Narrow"/>
        <family val="2"/>
      </rPr>
      <t xml:space="preserve">. </t>
    </r>
    <r>
      <rPr>
        <sz val="11"/>
        <color theme="1"/>
        <rFont val="Arial Narrow"/>
        <family val="2"/>
      </rPr>
      <t xml:space="preserve">
Del mismo modo la OCI ha desarrollado comentarios y observaciones referentes a la implementación de los requerimientos en materia de derechos de autor y el Informe de Seguimiento a la Implementación de los Lineamientos Establecidos en Gobierno Digital</t>
    </r>
  </si>
  <si>
    <t>Durante el tercer (3) Comité de Gestión y Desempeño del pasado 24 de junio, El jefe de la OTIC hace el llamado para considerar los compromisos del Plan Nacional de Infraestructura de Datos, el cual se puede ver afectado por la falta de recursos para las tecnologías. Aclarando que la situación no solo pone en riesgo el PNID sino otros temas relevantes para la continuidad de los servicios tecnológicos en la Entidad, para lo cual solo se tiene recursos hasta el mes de septiembre. El comité entiende el riesgo y concluye que este tema requiere intervención de la alta dirección, informando de todas las acciones adelantadas desde la Secretaria General, OTIC y OAP hasta el momento</t>
  </si>
  <si>
    <t xml:space="preserve">11.3 Se cuenta con matrices de roles y usuarios siguiendo los principios de segregación de funciones.
</t>
  </si>
  <si>
    <t xml:space="preserve">Dimension de Gestion con Valores para el Resultado
Politica de Fortalecimiento Organizacional y Simplificacion de Procesos.
</t>
  </si>
  <si>
    <t>1. No se cuenta con matrices de roles de segregación de funciones, sin embargo, Función Pública acoge al manual de funciones establecido. Cada aplicativo cuenta con una estructura de usuarios, incluyendo el administrador, el usuario autorizado y el usuario de consulta. 
2. La Matriz de Autoridad y Responsabilidad, establece una división de responsables dependiendo su rol en el Departamento</t>
  </si>
  <si>
    <t xml:space="preserve">11.4 Se cuenta con información de la 3a línea de defensa, como evaluador independiente en relación con los controles implementados por el proveedor de servicios, para  asegurar que los riesgos relacionados se mitigan.
</t>
  </si>
  <si>
    <t>Dimension Control Interno
Tercera Linea de Defensa</t>
  </si>
  <si>
    <t xml:space="preserve">De acuerdo a la Guia de Implementación de MIPG aplicando los lineamientos de la dimensión 7 referentes al Control Interno. Y a la Dimensión 3 de  Gestión con Valores para el Resultado . 
El proceso de Evaluación Independiente cuenta con el procedimiento de Auditoría basada en riesgos, que contempla la evaluación de los procesos, políticas, riesgos, controles entre otras. 
</t>
  </si>
  <si>
    <t>Todos los informes de seguimientos y auditorías son publicadas en el portal web institucional y copiadas a la alta dirección con la intención de dar a conocer las recomendaciones, análisis y desviaciones identificadas frente a los controles implementados en la entidad. Ver: https://www1.funcionpublica.gov.co/informes-y-seguimientos-oficina-de-control-interno</t>
  </si>
  <si>
    <r>
      <rPr>
        <b/>
        <u/>
        <sz val="11"/>
        <color theme="0"/>
        <rFont val="Arial Narrow"/>
        <family val="2"/>
      </rPr>
      <t xml:space="preserve">Lineamiento 12: 
</t>
    </r>
    <r>
      <rPr>
        <b/>
        <sz val="11"/>
        <color theme="0"/>
        <rFont val="Arial Narrow"/>
        <family val="2"/>
      </rPr>
      <t>Despliegue de políticas y procedimientos (Establece responsabilidades sobre la ejecución de las políticas y procedimientos; Adopta medidas correctivas; Revisa las políticas y procedimientos).</t>
    </r>
  </si>
  <si>
    <t xml:space="preserve">12.1 Se evalúa la actualización de procesos, procedimientos, políticas de operación, instructivos, manuales u otras herramientas para garantizar la aplicación adecuada de las principales actividades de control.
</t>
  </si>
  <si>
    <t>Dimension de Gestion con Valores para el Resultado
Politica de Fortalecimiento Organizacional y Simplificacion de Procesos.</t>
  </si>
  <si>
    <t xml:space="preserve">De acuerdo a la Guia de Implementación de MIPG aplicando los lineamientos de la dimensión 7 referentes al Control Interno. Y a la Dimensión 3 de  Gestión con Valores para el Resultado . 
Mediante el Sistema de Gestión Institucional SGI, se realiza el seguimiento a los entregables de cada dependencia, en donde periodicamente se consigna el avance en la gestión. 
El proceso de Evaluación Independiente cuenta con el procedimiento de Auditoría basada en riesgos, que contempra la evaluación de los procesos, políticas, riesgos, controles entre otras. 
</t>
  </si>
  <si>
    <t xml:space="preserve">Todos los informes, seguimientos y auditorías son publicadas en el portal web institucional y copiadas a la alta dirección con la intención de dar a conocer las recomendaciones, análisis y desviaciones identificadas con los controles implementados en la entidad. Ver: https://www1.funcionpublica.gov.co/informes-y-seguimientos-oficina-de-control-interno
En los informes de seguimiento a la gestión adelantados por la OCI, se han realizado recomendaciones frente a la actualización de procedimientos, políticas, manuales, indicadores, entre otros. </t>
  </si>
  <si>
    <t>Con corte a 30 de junio, la entidad adelanta el proceso de Caracterización de procesos, en el cual se esta reconfigurando el mapa de procesos de la entidad, dentro de los Comités de Gestión y Desempeño, ha quedado como tarea la continuidad a la actualización de los proceso de la entidad, durante la vigencia</t>
  </si>
  <si>
    <t>12.2  El diseño de controles se evalúa frente a la gestión del riesgo.</t>
  </si>
  <si>
    <t xml:space="preserve">Todas las Dimensiones de MIPG 
</t>
  </si>
  <si>
    <t>De acuerdo con lo establecido en la política de riesgos y en la Guía de Riesgos adoptada por Función Pública, a través del ciclo de los procesos es posible establecer los controles y por lo tanto, desde allí se señalan los atributos que deben tener (documentados, existe responsable, periodicidad, lineamiento frente a las desviaciones).</t>
  </si>
  <si>
    <t xml:space="preserve">La OCI durante el primer semestre de 2025, se ha pronunciado frente al estado de los riesgos, a través del informe de Evaluación por Dependencias, y demás informes de seguimiento a la gestión, dejando conclusiones y recomendaciones para la mejora continua. 
</t>
  </si>
  <si>
    <t>Durante la sesión tres (3) del Comité Institucional de Gestión y Desempeño, del pasado 24 de junio de 2025, la OAP informó que aún se encuentra pendiente la identificación de controles de las nuevas categorías  de riesgos incluidas en la política de riesgos v20, referente a riesgos fiscales, de integridad y de fuga de conocimiento</t>
  </si>
  <si>
    <t xml:space="preserve">12.3  Monitoreo a los riesgos acorde con la política de administración de riesgo establecida para la entidad.
</t>
  </si>
  <si>
    <t>Dimension de Direccionamiento Estrategico y Planeacion
Politica de Planeacion Institucional.</t>
  </si>
  <si>
    <t>De acuerdo con lo establecido en la política de administración de riesgos, se definió realizar seguimiento a los controles con periodicidad SEMESTRAL, cuando presenta nivel de severidad del riesgo Moderada se realiza seguimiento a los controles con periodicidad TRIMESTRAL, si el nivel es Alta se realiza seguimiento a los controles con periodicidad BIMESTRAL y si presenta un nivel Extrema se realiza seguimiento a los controles con periodicidad MENSUAL y se registran sus avances en el módulo de riesgos- SGI.</t>
  </si>
  <si>
    <t>El jefe de la OCI ha enviado correos referentes a la actualización del mapa de riesgos institucional en el botón de transparencia de Función Pública.
Desde la OAP, periódicamente se realiza seguimiento a los riesgos definidos en el SGI, enviando alertas a los procesos.</t>
  </si>
  <si>
    <t>Durante la sesión tres (3) del Comité Institucional de Gestión y Desempeño, del pasado 24 de junio de 2025, la OAP informó que aún se encuentra pendiente la identificación de controles de las nuevas categorías de riesgos incluidas en la política de riesgos v20, referente a riesgos fiscales, de integridad y de fuga de conocimiento</t>
  </si>
  <si>
    <t>Durante la sesión 3 del Comité de Gestión y Desempeño, del 24 de junio de 2025, el delegado de la OCI solicito que las modificaciones que se realizaran a la política  de riesgos fueran aprobadas en el Comité Institucional de Coordinación de Control Interno de acuerdo a las funciones del mismo.</t>
  </si>
  <si>
    <t>12.4 Verificación de que los responsables estén ejecutando los controles tal como han sido diseñados.</t>
  </si>
  <si>
    <t>Dimension Control Interno
Segunda Linea de Defensa</t>
  </si>
  <si>
    <t>De acuerdo a la Guia de Implementación de MIPG aplicando los lineamientos de la dimensión 7 referentes al Control Interno. Y a la Dimensión 3 de  Gestión con Valores para el Resultado . 
La entidad tiene definido y establecido en la "Política de Administración de Riesgos versión de julio de 2024" la cual establece los niveles de aceptación de los riesgos, y la responsabilidad mediante las líneas de defensa. Ver:
https://www1.funcionpublica.gov.co/documents/34645357/54077991/Politica_admnistracion_riesgos_funcion_publica_v20.pdf/ba58210c-a63d-23af-20cb-9b58644e2dbc?t=1724426981244 
Mediante el Sistema de Gestión Institucional SGI, se realiza el seguimiento a los entregables de cada dependencia, en donde periódicamente se consigna el avance en la gestión.</t>
  </si>
  <si>
    <t>En los informes de seguimiento a la gestión realizados por la OCI, durante el primer semestre de la vigencia, se analizan los controles de los procesos y se dejan recomendaciones para la mejora continua. Ver: https://www1.funcionpublica.gov.co/informes-y-seguimientos-oficina-de-control-interno</t>
  </si>
  <si>
    <t>Durante la sesión tres (3) del Comité Institucional de Gestión y Desempeño, del 24 de junio de 2025, la OAP informó que aún se encuentra pendiente la identificación de controles de las nuevas categorías de riesgos incluidas en la política de riesgos v20, referente a riesgos fiscales, de integridad y de fuga de conocimiento</t>
  </si>
  <si>
    <t>Durante la sesión tres (3) del CIGD, del 24 de junio de 2025, se informó  que desde la OAP se cumplió con el compromiso con todas las dependencias, mediante 27 mesas de trabajo, de revisión y modificación a los riesgos y controles.</t>
  </si>
  <si>
    <t>12.5  Se evalúa la adecuación de los controles a las especificidades de cada proceso, considerando cambios en regulaciones, estructuras internas u otros aspectos que determinen cambios en su diseño.</t>
  </si>
  <si>
    <t>Dimension Control Interno
 Lineas de Defensa</t>
  </si>
  <si>
    <t xml:space="preserve">De acuerdo a la Guía de Implementación de MIPG aplicando los lineamientos de la dimensión 7 referentes al Control Interno. Y a la Dimensión 3 de Gestión con Valores para el Resultado. 
La entidad tiene definido y establecido en la "Política de Administración de Riesgos versión de julio de 2024" la cual establece los niveles de aceptación de los riesgos, y la responsabilidad mediante las líneas de defensa. Ver:
https://www1.funcionpublica.gov.co/documents/34645357/54077991/Politica_admnistracion_riesgos_funcion_publica_v20.pdf/ba58210c-a63d-23af-20cb-9b58644e2dbc?t=1724426981244 
Mediante el Sistema de Gestión Institucional SGI, se realiza el seguimiento a los entregables de cada dependencia, en donde periodicamente se consigna el avance en la gestión. </t>
  </si>
  <si>
    <t>INFORMACIÓN Y COMUNICACIÓN</t>
  </si>
  <si>
    <t>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Se requiere que todos los servidores de la entidad reciban un claro mensaje de la Alta Dirección sobre las responsabilidades de control. Deben comprender su función frente al Sistema de Control Interno.</t>
  </si>
  <si>
    <r>
      <t xml:space="preserve">
Lineamiento 13: 
</t>
    </r>
    <r>
      <rPr>
        <b/>
        <sz val="11"/>
        <color theme="0"/>
        <rFont val="Arial Narrow"/>
        <family val="2"/>
      </rPr>
      <t>Utilización de información relevante (Identifica requisitos de información; Capta fuentes de datos internas y externas; Procesa datos relevantes y los transforma en información).</t>
    </r>
  </si>
  <si>
    <t>13.1 La entidad ha diseñado sistemas de información para capturar y procesar datos y transformarlos en información para alcanzar los requerimientos de información definidos.</t>
  </si>
  <si>
    <t xml:space="preserve">Dimension de Informacion y comunicación 
</t>
  </si>
  <si>
    <t>Función Pública ha desarrollado los siguientes sistemas de información para el mejoramiento de su gestión institucional:
SIGEP
FURAG
SUIT
SIE
APLICATIVO INTEGRIDAD PUBLICA
SGI</t>
  </si>
  <si>
    <t xml:space="preserve">Durante la sesión tres (3) del Comité Institucional de Gestión y Desempeño Institucional, del 24 de junio de 2025, el jefe de la OTIC manifestó la importancia de renovar la licencia de Microsoft durante el mes de septiembre a fin de evitar la materialización de tres riesgos operativos. </t>
  </si>
  <si>
    <t>Durante el primer semestre de 2025, la OCI presentó el informe de seguimiento al Plan de Mejoramiento Institucional, haciendo uso del sistema SGI, dejando recomendaciones y observaciones a las dependencias que tienen actividades pendientes y a la OAP como administradora del SGI</t>
  </si>
  <si>
    <t xml:space="preserve">Durante la sesión tres (3) del Comité de Gestión y Desempeño del pasado 24 de junio de 2025, se informó sobre la auditoría de segunda línea que adelantará la entidad durante los meses de julio agosto y septiembre con ocasión a la certificación del sistema FURAG ante el DANE de acuerdo a la NTCEPE:1000 de 2020. </t>
  </si>
  <si>
    <t>13.2  La entidad cuenta con el inventario de información relevante (interno/externa) y cuenta con un mecanismo que permita su actualización.</t>
  </si>
  <si>
    <t>Dimension de Informacion y comunicación 
Politica de Transparencia y Acceso a la Informaciòn Publica</t>
  </si>
  <si>
    <t>La entidad cuenta con el Registro de Activos de Información actualizado a 2024. Ver: https://www.datos.gov.co/Funci-n-p-blica/Registro-de-Activos-de-Informaci-n/3ed7-m82c/about_data</t>
  </si>
  <si>
    <t>Durante la sesión uno (1) del Comité de Gestión y Desempeño del pasado 29 de enero, quedó como compromiso de entregable de la OTIC:  Sistemas y servicios de apoyo actualizados, así como el inventario de activos de información con plazo hasta el 30/12/2025</t>
  </si>
  <si>
    <t>En el informe de Seguimiento a la Implantación de Gobierno Digital, presentado la OCI, se evidenció que la OTIC a través del CISO/Especialista de Seguridad, está adelantando en la vigencia la actualización con el apoyo de la OAP, un formato de Inventario de activos de información de la entidad, para activos de TI, basándose en la generada en la vigencia 2024, sobre el cual se presentaron recomendaciones para la mejora.</t>
  </si>
  <si>
    <t>13.3 La entidad considera un ámbito amplio de fuentes de datos (internas y externas), para la captura y procesamiento posterior de información clave para la consecución de metas y objetivos.</t>
  </si>
  <si>
    <t>La entidad considera varios sistemas de información como insumo de información Interna y externa a saber: Sistema SUIT, FURAG, SGI, ORFEO, SIE, SIGEP.  Para los cuales, se maneja una serie de bases de datos como fuente para la debida operación y cumplimiento de las metas institucionales.</t>
  </si>
  <si>
    <t>Durante el tercer comité directivo del pasado 17 de marzo, el jefe de la OTIC informó al comité que Con el presupuesto actual solo podemos operar hasta el mes de agosto. Existe actualmente una desfinanciación de $ 4.125 millones de pesos lo que nos daría para operar hasta el mes de diciembre. Por lo que se requiere mínimo adicionar 2000 millones al presupuesto actual para pasar la vigencia 2025 en sus sistemas críticos misionales. Quedando como compromiso reunión con Min Hacienda y Min Tic para la adición presupuestal</t>
  </si>
  <si>
    <t xml:space="preserve">En el informe de Seguimiento Derechos de Autor, presentado por la OCI, verificando el licenciamiento de la licencia LINUX, se evidenció falencias en la contratación de licencias que sustentan el sistema operativo y bases de datos de la entidad. </t>
  </si>
  <si>
    <t>Durante la sesión cinco (5) del Comité directivo, del pasado 12 de mayo, el jefe la OTIC presentó el reporte de aplicaciones después de la migración del datacenter, situación financiera y ley de garantías. Así mismo, se informó que todos los servicios se encuentran operativos, con menores rendimientos y tiempos de respuesta dado que las capacidades de infraestructura son menores a las que se disponían en nube privada, pero que consideramos aceptables.</t>
  </si>
  <si>
    <t>Igualmente en el comité directivo del 12 de mayo, el jefe de la OTIC afirma que en cuanto a la solicitud de la adición de recursos el estado de solicitud negado por segunda ocasión; se propone radicar carta de respuesta negativa del Min Hacienda, enviar memorando a Min TIC para mesas exploratorias de apoyo con recursos del ministerio.</t>
  </si>
  <si>
    <t>13.4 La entidad ha desarrollado e implementado actividades de control sobre la integridad, confidencialidad y disponibilidad de los datos e información definidos como relevantes.</t>
  </si>
  <si>
    <t xml:space="preserve">1. En el SIPG en el Proceso Tecnologías de la Información y las Comunicaciones se tiene la Política general de seguridad de la información, un numeral con ""Propietarios de los Activos de la Información Institucional"".
2. En la Política de Administración del Riesgo v20, se tiene un apartado para Riesgos de Seguridad Digital, e integridad
3. Política General de Seguridad de la Información con lineamientos sobre integridad y confidencialidad de información y datos. </t>
  </si>
  <si>
    <t>En la tercera (3) sesión del Comité de Gestión y Desempeño, del pasado 24/06/2025, la OAP informó que aún se encuentra pendiente la identificación de controles para los riesgos de tipo fiscal, de fuga de conocimiento y de integridad</t>
  </si>
  <si>
    <t>La OCI ha desarrollado comentarios y observaciones referentes a la implementación de los requerimientos en materia de derechos de autor y el Informe de Seguimiento a la Implementación de los Lineamientos Establecidos en Gobierno Digital, verificando la evaluación de autodiagnóstico de seguridad, el Plan Estratégico de Seguridad, la política, los manuales y la gestión de riesgo de la  seguridad de la información.</t>
  </si>
  <si>
    <r>
      <t xml:space="preserve">
Lineamiento 14: 
</t>
    </r>
    <r>
      <rPr>
        <b/>
        <sz val="11"/>
        <color theme="0"/>
        <rFont val="Arial Narrow"/>
        <family val="2"/>
      </rPr>
      <t>Comunicación Interna (Se comunica con el Comité Institucional de Coordinación de Control Interno o su equivalente; Facilita líneas de comunicación en todos los niveles; Selecciona el método de comunicación pertinente).</t>
    </r>
  </si>
  <si>
    <t>14.1 Para la comunicación interna la Alta Dirección tiene mecanismos que permitan dar a conocer los objetivos y metas estratégicas, de manera tal que todo el personal entiende su papel en su consecución. (Considera los canales más apropiados y evalúa su efectividad).</t>
  </si>
  <si>
    <t xml:space="preserve">Dimension de Informacion y comunicación
</t>
  </si>
  <si>
    <t xml:space="preserve">La Política de Operación del Proceso de Comunicación en Función Pública contiene protocolos para gestionar la comunicación interna y externa en la Entidad, para el manejo de la información y la comunicación el Departamento. 
El documento Estrategia de Comunicaciones, contiene lineamientos frente a la comunicación interna y externa, presentado en Enero de 2025. </t>
  </si>
  <si>
    <t>Durante la sesión 1 del Comité Institucional de Gestión y Desempeño, del pasado 29 de enero, se aprobó el Plan de Acción 2025, quedando para la OAC, 6 entregables en la Planeación Institucional.</t>
  </si>
  <si>
    <t xml:space="preserve">La OCI presentó en el mes de enero el informe de Evaluación por Dependencias a la Oficina de Comunicaciones en donde se hizo seguimiento a los entregables, riesgos, indicadores y planes de mejoramiento dejando comentarios para la mejora continua del proceso. </t>
  </si>
  <si>
    <t xml:space="preserve">En el primer Comité Directivo del pasado 20 de enero, quedo como compromiso el desarrollo de un procedimiento de comunicación externa. </t>
  </si>
  <si>
    <t xml:space="preserve">Durante el comité directivo número  cinco (5), del 21 de abril, la jefe de la OAC, realizó un comentario referente a la gestión de Función Pública en redes sociales, apoyando la difusión de piezas generadas por Min trabajo, relacionadas con la Consulta Popular. </t>
  </si>
  <si>
    <t>14.2 La entidad cuenta con políticas de operación relacionadas con la administración de la información (niveles de autoridad y responsabilidad)</t>
  </si>
  <si>
    <r>
      <t xml:space="preserve">A través del SIPG, en el módulo de políticas, se pudo identificar la Política de operación del Proceso de Tecnologías de la Información, de igual manera, la Política de operación del proceso de Comunicaciones, así como la política de operación del proceso de gestión documental, que establece responsabilidades relacionadas con la administración de la información.
</t>
    </r>
    <r>
      <rPr>
        <sz val="11"/>
        <color theme="4"/>
        <rFont val="Arial Narrow"/>
        <family val="2"/>
      </rPr>
      <t>La Matriz de Autoridad y Responsabilidad, establece una división de responsables dependiendo su rol en el Departamento.</t>
    </r>
  </si>
  <si>
    <t xml:space="preserve">Durante la tercera sesión del Comité de Gestión y Desempeño, del pasado 24 de junio se aprobó la política de Gestión Documental. </t>
  </si>
  <si>
    <t>Durante el primer semestre de 2025, la OCI presentó dos informes de Austeridad en el Gasto en donde se realiza una revisión de las políticas de operación y su gestión con respecto al gasto público y la administración de recursos al interior del Departamento, estableciendo recomendaciones e identificando desviaciones propiciando la mejora continua.</t>
  </si>
  <si>
    <t>Durante el comité directivo numero cinco (5), la jefe de la OAC, realizó un comentario referente a la gestión de Función Pública en redes sociales, apoyando la difusión de piezas generadas por Min trabajo, relacionadas con la Consulta Popular.</t>
  </si>
  <si>
    <t>14.3 La entidad cuenta con canales de información internos para la denuncia anónima o confidencial de posibles situaciones irregulares y se cuenta con mecanismos específicos para su manejo, de manera tal que generen la confianza para utilizarlos.</t>
  </si>
  <si>
    <t>La entidad cumpliendo con los lineamientos de la Ley 1712 de 2014 adoptó mediante la Resolución No.054 de 2017 a través de la cual se fija el trámite para Peticiones, Quejas, Reclamos, Solicitudes y Denuncias, también cuenta con el canal de comunicación en el portal web institucional, para "Denuncias por Actos de Corrupción": http://www.funcionpublica.gov.co/denuncias-por-actos-de-corrupcion. Adicionalmente, a través del correo electrónico: soytransparente@funcionpublica.gov.co,   el cual facilita la presentación de denuncias relacionadas con posibles actos de corrupción, presuntamente cometidos por Servidores Públicos de la entidad en el desempeño de sus funciones.</t>
  </si>
  <si>
    <t>La Secretaría de transparencia a través del Decreto 1122 de 2024, establece el Programa de Transparencia y Ética Pública como insumo para promover, controlar y monitorear los riesgos de corrupción, en ejecución a partir del mes de agosto de la presente vigencia.</t>
  </si>
  <si>
    <t>La Oficina de Control Interno presentó en el mes de marzo, los resultados del seguimiento al trámite de PQRSD al interior del Departamento, dejando como conclusión, que es necesario revisar y evaluar la pertinencia de modificar la Resolución 054 de 2017, con el fin de actualizar y ajustar los procedimientos de recepción y gestión de las peticiones, alineándolos con las nuevas realidades y necesidades del contexto actual de la entidad. 
La OCI con corte a 30 de junio, adelanta el seguimiento a la Matriz ITA, donde se verifican los mecanismos de información internos y externos para la denuncia anónima o confidencial.</t>
  </si>
  <si>
    <t>14.4 La entidad establece e implementa políticas y procedimientos para facilitar una comunicación interna efectiva.</t>
  </si>
  <si>
    <r>
      <t xml:space="preserve">La entidad estableció la Política de Operación del Proceso de Comunicaciones, Versión 6 de julio - 2024, para dar lineamientos a todos los Servidores, Contratistas y Pasantes sobre el uso adecuado de los canales y el manejo de la información generada por la entidad y garantizar un adecuado flujo de información interna, la cual facilita la operación institucional.
</t>
    </r>
    <r>
      <rPr>
        <sz val="11"/>
        <color theme="4"/>
        <rFont val="Arial Narrow"/>
        <family val="2"/>
      </rPr>
      <t xml:space="preserve">Adicionalmente en el SIPG se encuentra contenido en el proceso de Comunicación el procedimiento de Generación Contenidos Informativos que busca gestionar a través de lineamientos la comunicación interna y externa institucional. </t>
    </r>
  </si>
  <si>
    <r>
      <t xml:space="preserve">
Lineamiento 15: 
</t>
    </r>
    <r>
      <rPr>
        <b/>
        <sz val="11"/>
        <color theme="0"/>
        <rFont val="Arial Narrow"/>
        <family val="2"/>
      </rPr>
      <t>Comunicación con el exterior (Se comunica con los grupos de valor y con terceros externos interesados; Facilita líneas de comunicación).</t>
    </r>
  </si>
  <si>
    <t xml:space="preserve">15.1 La entidad desarrolla e implementa controles que facilitan la comunicación externa, la cual incluye  políticas y procedimientos. 
Incluye contratistas y proveedores de servicios tercerizados (cuando aplique). </t>
  </si>
  <si>
    <t xml:space="preserve">
Dimension de Informacion y Comunicación
Dimension de Control Interno
Primera Linea de Defensa</t>
  </si>
  <si>
    <t>La entidad cuenta con políticas y procedimientos para orientar la comunicación interna y externa. El proceso de comunicaciones integra los siguientes documentos: Política de Operación Proceso Comunicación. Versión 6. julio de 2024.  El cual contiene un capítulo de Comunicación Externa, donde establece protocolos frente a Comunicaciones Externas para medios de comunicación, Protocolo Comunicación para Gestores Regionales y un Protocolo de Redes Sociales.</t>
  </si>
  <si>
    <t>Durante la sesión tres (3) del Comité de Gestión y Desempeño Institucional, del pasado 24 de junio,  quedo como compromiso a 30/07/2025 la Finalización de la documentación de procesos y procedimientos, con ocasión al rediseño institucional</t>
  </si>
  <si>
    <t xml:space="preserve">Durante la sesión 1 del Comité Institucional de Gestión y Desempeño, del pasado 29 de enero, se compartió la estrategia de comunicaciones del Departamento que contiene, el Boletín Tejiendo lo Público y el Magazine Vida Pública, como una estrategia de comunicación interna y externa.  </t>
  </si>
  <si>
    <t xml:space="preserve">15.2 La entidad cuenta con canales externos definidos de comunicación, asociados con el tipo de información a divulgar, y éstos son reconocidos a todo nivel de la organización.
</t>
  </si>
  <si>
    <t xml:space="preserve">Dimension de Informacion y Comunicación
Politica de Transparencia, acceso a la información pública y lucha
contra la corrupción </t>
  </si>
  <si>
    <t>La entidad cuenta con canales externos definidos de comunicación que están asociados al tipo de información a divulgar y son reconocidos a nivel institucional para garantizar la publicidad y transparencia. Estos canales incluyen el portal web, redes sociales, correo masivo, medios de comunicación, podcast, y equipos transversales, complementados con productos como boletines, comunicados de prensa, infografías, y entrevistas. 
Además, el procedimiento de "Generación de Contenidos Informativos" y la ficha técnica de identificación y control de productos respaldan la estrategia comunicativa. La Oficina de Tecnologías de la Información y el líder del proceso de comunicación coordinan la gestión y difusión de la información institucional, asegurando su calidad y relevancia para los grupos de valor, mientras que los servidores tienen la responsabilidad de aplicar las directrices comunicativas en sus interacciones internas y externas, fortaleciendo la comunicación estratégica de la entidad</t>
  </si>
  <si>
    <t>Durante la primera (1) sesión del Comité de Gestión y Desempeño Institucional, del pasado 29 de enero, quedo aprobado en el Plan de Acción Anual la meta de la OREC: Prestar el Servicio al 100% a las ciudadanías con mejora continua en los canales de atención dispuestos por la entidad. Con corte a junio 30 de 2025, se han presentado un informe consolidado de PQRS del primer trimestre de 2025, el seguimiento a los canales de atención, además de la elaboración, aprobación y publicación de la Estrategia relacionamiento Estado-Ciudadanías para la vigencia</t>
  </si>
  <si>
    <t>La OCI presentó en el mes de marzo los resultados del seguimiento a las PQRSD ingresadas por todos los canales externos definidos, la gestión del trámite desarrollado al interior del Departamento, dejando conclusiones y recomendaciones a las áreas involucradas. (OREC, Secretaría General, Gestión Documental).
La OCI con corte a 30 de junio, adelanta el seguimiento a la Matriz ITA, donde se verifican las directrices d accesibilidad web, requisitos sobre identidad visual y articulación con el portal único del Estado colombiano, y los ítems del menú de atención y servicios a la ciudadanía.</t>
  </si>
  <si>
    <t>Durante la sesión cuatro (4) del Comité de Directivo, del pasado 21 de abril de 2025, la jefe de la OREC solicitó para cumplir con las obligaciones de la dependencia: 1. Préstamo de personal de otras áreas para apoyo en respuestas. 2. Ampliación de términos de respuesta. 3. Fortalecimiento de la estrategia educomunicativa. 4. Fortalecimiento del área documental. 5. Atención a posibles fallas tecnológicas ( OTIC ). dado el alto flujo de peticiones a través de los canales escritos: ORFEO, Proactivanet, canal telefónico, chat y presencial</t>
  </si>
  <si>
    <t>15.3 La entidad cuenta con procesos o procedimiento para el manejo de la información entrante (quién la recibe, quién la clasifica, quién la analiza), y a la respuesta requierida (quién la canaliza y la responde).</t>
  </si>
  <si>
    <t xml:space="preserve">Dimension de Informacion y Comunicación
Politica de Gestion Documental
Politica de Transparencia, acceso a la información pública y lucha
contra la corrupción </t>
  </si>
  <si>
    <t>Función Pública tiene establecido el Proceso: Gestión Documental, para el manejo de la información que ingresa (quién la recibe, quién la clasifica, quién la analiza), y a su vez el Procedimiento: Administración de Correspondencia. De igual manera la Política de Operación del Grupo de Gestión Documental establece los lineamientos para la administración de la información y registros.</t>
  </si>
  <si>
    <t>La OCI presentó en el mes de marzo los resultados del seguimiento a las PQRSD ingresadas por todos los canales externos definidos, la gestión del trámite desarrollado al interior del Departamento, dejando conclusiones y recomendaciones a las áreas involucradas. (OREC, Secretaría General, Gestión Documental).
La OCI con corte a 30 de junio, adelanta el seguimiento a la Matriz ITA, donde se verifican los ítems del menú de atención y servicios a la ciudadanía.</t>
  </si>
  <si>
    <t xml:space="preserve">15.4 La entidad cuenta con procesos o procedimientos encaminados a evaluar periodicamente la efectividad de los canales de comunicación con partes externas, así como sus contenidos, de tal forma que se puedan mejorar.
</t>
  </si>
  <si>
    <t>Dimension de Informacion y Comunicación
Politica deControl Interno
Lineas de Defensa</t>
  </si>
  <si>
    <t>El proceso de Comunicaciones tiene el procedimiento: "generación de contenidos informativos", el cual establece el monitoreo de la publicación de medios, el cual evalúa la gestión adelantada en el canal de comunicación.</t>
  </si>
  <si>
    <t>La OCI presentó en el mes de marzo los resultados del seguimiento a las PQRSD ingresadas por todos los canales externos definidos, la gestión del trámite desarrollado al interior del Departamento, dejando conclusiones y recomendaciones a las áreas involucradas. (OREC, Secretaría General, Gestión Documental).</t>
  </si>
  <si>
    <t>Durante el comité directivo número cinco (5), del pasado 21 de abril de 2025, la jefe de la OAC, realizó un comentario referente a la gestión de Función Pública en redes sociales, apoyando la difusión de piezas generadas por Min trabajo, relacionadas con la Consulta Popular.</t>
  </si>
  <si>
    <t>15.5 La entidad analiza periodicamente su caracterización de usuarios o grupos de valor, a fin de actualizarla cuando sea pertinente.</t>
  </si>
  <si>
    <t>Dimension de Direccionamiento Estrategico y Planeaciòn
Politica de Planeacion Institucional</t>
  </si>
  <si>
    <t xml:space="preserve">La última actualización cargada en la página web de Función Pública es el Informe de caracterización de usuarios es del 2023 en su versión 02
</t>
  </si>
  <si>
    <t>Con corte a junio 30 de 2025, se han presentado un informe consolidado de PQRS del primer trimestre de 2025, el seguimiento a los canales de atención, además de la elaboración, aprobación y publicación de la Estrategia relacionamiento Estado-Ciudadanías para la vigencia</t>
  </si>
  <si>
    <t>Con ocasión a la presentación del Seguimiento del Plan Anticorrupción y Atención al Ciudadano, se hizo seguimiento desde la OCI al documento de caracterización de usuarios, identificando que en 2024, no se realizó la actualización de caracterización de usuarios</t>
  </si>
  <si>
    <t xml:space="preserve">Durante la sesión uno (1) del Comité de Gestión y Desempeño del pasado 29 de enero, quedó como compromiso la entrega de las actividades del Plan Institucional de la Gestión Integral de Riesgos 2025: que contiene una actualización de la caracterización de usuarios internos, externos y periféricos, así como actualizar la caracterización de contratistas de prestación de servicios y servidores públicos. </t>
  </si>
  <si>
    <t>15.6 La entidad analiza periodicamente los resultados frente a la evaluación de percepción por parte de los usuarios o grupos de valor para la incorporación de las mejoras correspondientes.</t>
  </si>
  <si>
    <t>Función Pública tiene definidos encuestas de Servicios, Orientación, de Canal Escrito, Meritocracia, Trámites y Asesorías. 
El monitoreo de las acciones de mejora, se realiza teniendo en cuenta las responsabilidades de las líneas de defensa en el Sistema de Gestión Institucional SGI en el módulo de Plan de Mejoramiento. Ver: https://www.funcionpublica.gov.co/DAFPSGIWeb/</t>
  </si>
  <si>
    <t>Durante la sesión cinco (5) del Comité Directivo, del pasado 12 de mayo,  la jefe la OREC presentó los resultados del informe de PQRSD y percepción de los grupos de valor y otros de interés - Primer trimestre 2025</t>
  </si>
  <si>
    <t xml:space="preserve">La OCI presentó en el mes de marzo los resultados del seguimiento a las PQRSD ingresadas por todos los canales externos definidos, la gestión del trámite desarrollado al interior del Departamento, dejando conclusiones y recomendaciones a las áreas involucradas. Con respecto de la evaluación de la percepción por parte de los usuarios, se dejo el comentario de la necesidad de revisar las encuestas a fin de tomar acciones que permitan corregir los resultados negativos compartidos por los usuarios de Función Pública.
Mediante el informe de PQRS unificado, presentado por la OREC del resultado del primer trimestre de 2025, con respecto de las encuestas presentadas, se indicó que se presentado 624 encuestas registradas frente a la medición de la experiencia de 102. 461 de PQRSD registradas durante el primer trimestre. </t>
  </si>
  <si>
    <t>ACTIVIDADES DE MONITOREO</t>
  </si>
  <si>
    <t>Este componente considera actividades en el día a día de la gestión institucional, así como a través de evaluaciones periódicas (autoevaluación, auditorías). Su propósito es valorar: (i) la efectividad del control interno de la entidad pública; (ii) la eficiencia, eficacia y efectividad de los procesos; (iii) el nivel de ejecución de los planes, programas y proyectos; (iv) los resultados de la gestión, con el propósito de detectar desviaciones, establecer tendencias, y generar recomendaciones para orientar las acciones de mejoramiento de la entidad pública.</t>
  </si>
  <si>
    <r>
      <rPr>
        <b/>
        <u/>
        <sz val="11"/>
        <color theme="0"/>
        <rFont val="Arial Narrow"/>
        <family val="2"/>
      </rPr>
      <t xml:space="preserve">Lineamiento 16. </t>
    </r>
    <r>
      <rPr>
        <sz val="11"/>
        <color theme="0"/>
        <rFont val="Arial Narrow"/>
        <family val="2"/>
      </rPr>
      <t xml:space="preserve"> Evaluaciones continuas y/o separadas (autoevaluación, auditorías) para determinar si los componentes del Sistema de Control Interno están presentes y funcionando.
</t>
    </r>
  </si>
  <si>
    <t>Observaciones de la evaluacion independiente (tener encuenta papel de  líneas de defensa) 
*Nota: Unicamente diligenciar las observaciones que van vinculadas al desarrollo de actividades de las demas lineas de defensa</t>
  </si>
  <si>
    <t>16.1 El comité Institucional de Coordinación de Control Interno aprueba anualmente el Plan Anual de Auditoría presentado por parte del Jefe de Control Interno o quien haga sus veces y hace el correspondiente seguimiento a sus ejecución?</t>
  </si>
  <si>
    <t>Dimension de Control Interno
Lineas Estrategica</t>
  </si>
  <si>
    <t xml:space="preserve">En el marco de las funciones establecidas en la Resolución 126 de 2018, el Comité Institucional de Coordinación de Control Interno -CICCI-, como instancia estratégica aprueba el Plan Anual de Auditoria para cada vigencia.
Durante la sesión cuatro (4) del CICCI, del pasado 16 de diciembre se aprobó el Plan Anual de Auditorías y Seguimientos del 2025. </t>
  </si>
  <si>
    <t xml:space="preserve">El Plan Anual de Auditorías y Seguimientos del 2025, fue aprobado en el Comité Institucional de Coordinación de Control Interno en el mes de diciembre de 2025 en la tercera sesión.
En el Comité Institucional de Coordinación de Control Interno se presentó el seguimiento al Plan de Auditorías </t>
  </si>
  <si>
    <t>El Plan Anual de Auditorías y Seguimientos, con corte a 30 de diciembre de 2025 ejecutándose el 100%</t>
  </si>
  <si>
    <t>16.2  La Alta Dirección periódicamente evalúa los resultados de las evaluaciones (contínuas e independientes)  para concluir acerca de la efectividad del Sistema de Control Interno</t>
  </si>
  <si>
    <t xml:space="preserve">1. En el marco de las funciones establecidas en la Resolución 126 de 2018, ART 9 Funciones del Comité Institucional de Coordinación de Control Interno -CICCI-, Evalúa el Estado del Sistema de Control Interno.
2. Adicionalmente, mediante la Resolución 1644 de 2013, Por Ia cual se crean y conforman los Comités Directivo y de Coordinación del Sistema de Control Interno del Departamento Administrativo de Ia Función Pública. Evalúan los resultados de los diferentes análisis generados por las instancias de segunda línea.
</t>
  </si>
  <si>
    <t>La OCI ha presentado todos los informes y seguimientos a la alta dirección, con el fin de que sean revisada y evaluadas las recomendaciones y observaciones identificadas en cada uno de los temas revisados por los profesionales de la OCI.</t>
  </si>
  <si>
    <t>Página Web</t>
  </si>
  <si>
    <t>16.3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</si>
  <si>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Dimension de Control Interno
Tercera Linea de Defensa</t>
  </si>
  <si>
    <t xml:space="preserve">El Plan Anual de Auditorías y Seguimientos 2025, contiene las Auditorias y Seguimientos a ejecutar durante la vigencia, para evaluar la gestión institucional y el estado del Sistema de Control Interno del Departamento. </t>
  </si>
  <si>
    <t xml:space="preserve">Durante la vigencia 2025 la OCI cumplió con el 100% del Plan Anual de Auditorías y Seguimientos. Mediante el informe de Austeridad en el Gasto del primer trimestre de 2025, se identificó un riesgo materializado. </t>
  </si>
  <si>
    <t>16.4 Acorde con el Esquema de Líneas de Defensa se han implementado procedimientos de monitoreo continuo como parte de las actividades de la 2a línea de defensa, a fin de contar con información clave para la toma de decisiones.</t>
  </si>
  <si>
    <t>Dimension de Control Interno
Segunda Linea de Defensa</t>
  </si>
  <si>
    <r>
      <t xml:space="preserve">En el marco de la Política de Administración de Riesgos v20, se tienen establecidas responsabilidades para cada una de las líneas de defensa. 
</t>
    </r>
    <r>
      <rPr>
        <sz val="11"/>
        <color rgb="FFFF0000"/>
        <rFont val="Arial Narrow"/>
        <family val="2"/>
      </rPr>
      <t xml:space="preserve">
</t>
    </r>
    <r>
      <rPr>
        <sz val="11"/>
        <color theme="4"/>
        <rFont val="Arial Narrow"/>
        <family val="2"/>
      </rPr>
      <t>El seguimiento desarrollado mediante el Mapa de Aseguramiento, permite identificar los resultados de la segunda línea como proveedores de información para monitorear el sistema de control interno</t>
    </r>
  </si>
  <si>
    <t xml:space="preserve">Durante la sesión tres (3) del Comité de Gestión y Desempeño, del pasado 24 de junio, se informó sobre la auditoría de segunda línea que adelantará la entidad durante los meses de julio agosto y septiembre con ocasión a la certificación del sistema FURAG ante el DANE de acuerdo a la NTCEPE:1000 de 2020. </t>
  </si>
  <si>
    <t xml:space="preserve">En los informes de seguimientos realizados por la OCI , se realiza monitoreo de las actividades de segunda línea y se comparten los resultados con los líderes de procesos y la alta dirección. 
 </t>
  </si>
  <si>
    <t>16.5 Frente a las evaluaciones independientes la entidad considera evaluaciones externas de organismos de control, de vigilancia, certificadores, ONG´s u otros que permitan tener una mirada independiente de las operaciones.</t>
  </si>
  <si>
    <t>Dentro del Plan Anual de Auditorías y Seguimientos vigencia 2025, se encuentra contemplado una disposición de la OCI para la visita que realiza la Contraloría General de la República para hacer seguimiento a la gestión fiscal de la entidad.</t>
  </si>
  <si>
    <t>Durante la sesión tres (3) del Comité de Gestión y Desempeño, del pasado 24 de junio, se informó sobre la auditoría de segunda línea que adelantará la entidad durante los meses de julio agosto y septiembre con ocasión a la certificación del sistema FURAG ante el DANE de acuerdo a la NTCEPE:1000 de 2020</t>
  </si>
  <si>
    <t xml:space="preserve">Durante la vigencia 2025, no se recibieron visitas ni evaluaciones externas o de organismos de control. Es importante aclarar que actualmente Función Pública no tiene hallazgos pendientes en el Plan de Mejoramiento de ninguna entidad externa. </t>
  </si>
  <si>
    <r>
      <rPr>
        <b/>
        <u/>
        <sz val="11"/>
        <color theme="0"/>
        <rFont val="Arial Narrow"/>
        <family val="2"/>
      </rPr>
      <t xml:space="preserve">Lineamiento 17. </t>
    </r>
    <r>
      <rPr>
        <sz val="11"/>
        <color theme="0"/>
        <rFont val="Arial Narrow"/>
        <family val="2"/>
      </rPr>
      <t xml:space="preserve"> 
Evaluación y comunicación de deficiencias oportunamente (Evalúa los resultados, Comunica las deficiencias y Monitorea las medidas correctivas).
</t>
    </r>
  </si>
  <si>
    <t>17.1 A partir de la información de las evaluaciones independientes, se evalúan para determinar su efecto en el Sistema de Control Interno de la entidad y su impacto en el logro de los objetivos, a fin de determinar cursos de acción para su mejora.</t>
  </si>
  <si>
    <r>
      <t xml:space="preserve">El proceso de Evaluación Independiente cuenta para su operación con el procedimiento: Auditoría basada en riesgos. Versión 13 del 26 de diciembre de 2024. Así mismo, con el Plan Anual de Auditorías y Seguimientos, vigencia 2025, cuyo objeto principal es Planificar las Auditorias y Seguimientos a ejecutar durante la vigencia, para evaluar la gestión institucional y el estado del Sistema de Control Interno de la Función Pública. Se encuentra publicado en el SIPG y en la página web de Función Pública. </t>
    </r>
    <r>
      <rPr>
        <sz val="11"/>
        <color theme="4"/>
        <rFont val="Arial Narrow"/>
        <family val="2"/>
      </rPr>
      <t>Ver: https://10.116.8.19:7443/web/intranet/proceso-evaluacion-independiente</t>
    </r>
  </si>
  <si>
    <t>La OCI ha presentado todos los informes y seguimientos a la alta dirección, con el fin de que sean revisada y evaluadas las recomendaciones y observaciones identificadas en cada uno de los temas revisados por los profesionales de la OCI</t>
  </si>
  <si>
    <t>17.2 Los informes recibidos de entes externos (organismos de control, auditores externos, entidades de vigilancia entre otros) se consolidan y se concluye sobre el impacto en el Sistema de Control Interno, a fin de determinar los cursos de acción.</t>
  </si>
  <si>
    <t xml:space="preserve">A través del SIPG en el proceso de Mejoramiento Institucional se cuenta con el procedimiento Administración del plan de mejoramiento institucional del 29 de julio de 2024. </t>
  </si>
  <si>
    <t>17.3 La entidad cuenta con políticas donde se establezca a quién reportar las deficiencias de control interno como resultado del monitoreo continuo.</t>
  </si>
  <si>
    <r>
      <t xml:space="preserve">De acuerdo a la Política de Administración de Riesgos v20, la Oficina de Control Interno “OCI” presentará los informes resultados de la evaluación y seguimiento, de conformidad con los términos establecidos y con criterios de oportunidad, exactitud, confiabilidad, a la Dirección General, a los responsables de los procesos y a los órganos de control externo.
Adicionalmente se cuenta con el Plan de Mejoramiento Institucional a donde se llevan todas las desviaciones identificadas por la OCI
</t>
    </r>
    <r>
      <rPr>
        <sz val="11"/>
        <color theme="4"/>
        <rFont val="Arial Narrow"/>
        <family val="2"/>
      </rPr>
      <t xml:space="preserve">
La Matriz de Autoridad y Responsabilidad, establece una división de responsables dependiendo su rol en el Departamento.</t>
    </r>
  </si>
  <si>
    <t>Durante la sesión tres (3) del Comité de Gestión y Desempeño se solicitó realizar las modificaciones propuestas a la Política de Riesgos Institucional y aprobarlas durante la sesión del Comité de Control Interno de acuerdo a las funciones del mismo.</t>
  </si>
  <si>
    <t>17.4 La Alta Dirección hace seguimiento a las acciones correctivas relacionadas con las deficiencias comunicadas sobre el Sistema de Control Interno y si se han cumplido en el tiempo establecido.</t>
  </si>
  <si>
    <t>La Política de Administración del Riesgo v20, establece las responsabilidades de la Alta dirección en el marco del esquema de líneas de defensa.</t>
  </si>
  <si>
    <t>La OCI presentó el Informe de Seguimiento al Plan de Mejoramiento Institucional realizando comentarios, y dejando tareas sobre 52 hallazgos revisados.
Se recomienda que los responsables de las acciones realicen seguimiento y suban las evidencias en el SIGPARTICIPO</t>
  </si>
  <si>
    <t xml:space="preserve">Durante la sesión tres (3) del Comité Institucional de Gestión y Desempeño, la OAP informó al Comité sobre las acciones adelantadas con respecto al Plan de Mejoramiento Institucional </t>
  </si>
  <si>
    <t xml:space="preserve">Mediante correos electrónicos el Director encargado, realizó seguimiento a las recomendaciones de los informes, asignando acciones, responsables y tiempos de ejecución. </t>
  </si>
  <si>
    <t>17.5 Los procesos y/o servicios tercerizados, son evaluados acorde con su nivel de riesgos.</t>
  </si>
  <si>
    <t>No Aplica, la entidad no tiene servicios o procesos tercerizados</t>
  </si>
  <si>
    <t>SECOP</t>
  </si>
  <si>
    <t xml:space="preserve">Supervisiones de contratos </t>
  </si>
  <si>
    <t>17.6 Se evalúa la información suministrada por los usuarios (Sistema PQRD), así como de otras partes interesadas para la mejora del  Sistema de Control Interno de la Entidad?</t>
  </si>
  <si>
    <t xml:space="preserve">
Dimension de Informacion y Comunicación 
Dimension de Control Interno
Lineas de Defensa</t>
  </si>
  <si>
    <t xml:space="preserve">La entidad en cumplimiento de la Ley 1474 de 2011, cuenta con los siguientes lineamientos establecidos en el proceso Relacionamiento Estado Ciudadanías: * Acuerdos niveles de servicio para la atención PQRSD * Acciones incluyentes para el servicio a los grupos de valor de FP * Clasificación para determinar niveles de servicio * Modelo de Servicio al Ciudadano * Protocolos de Servicio al Ciudadano: el procedimiento: Gestión de Requerimientos formulados ante la Función Pública </t>
  </si>
  <si>
    <t>Durante la sesión cinco (5) del Comité Directivo, del pasado 21 de abril, la jefe la OREC presentó los resultados del informe de PQRSD y percepción de los grupos de valor y otros de interés - en la vigencia 2025</t>
  </si>
  <si>
    <t>La Oficina de Control Interno presentó en el mes de Marzo, los resultados del seguimiento al trámite de PQRSD al interior del Departamento, dejando como conclusión, que es necesario revisar y evaluar la pertinencia de modificar la Resolución 054 de 2017, con el fin de actualizar y ajustar los procedimientos de recepción y gestión de las peticiones, alineándolos con las nuevas realidades y necesidades del contexto actual de la entidad.</t>
  </si>
  <si>
    <t xml:space="preserve">17.7 Verificación del avance y cumplimiento de las acciones incluidas en los planes de mejoramiento producto de las autoevaluaciones. (2ª Línea).
</t>
  </si>
  <si>
    <t xml:space="preserve">
Dimension de Control Interno
Lineas de Defensa</t>
  </si>
  <si>
    <t xml:space="preserve">De acuerdo a lo establecido en la Política de Administración del Riesgo v20, se establecen responsabilidades frente al seguimiento y control por parte de la segunda línea, respecto de los riesgos y controles institucionales.
A través del SIPG en el proceso de Mejoramiento Institucional se cuenta con el procedimiento Administración del plan de mejoramiento institucional del 29 de julio de 2024. </t>
  </si>
  <si>
    <t>Durante la sesión tres (3) del Comité Institucional de Gestión y Desempeño, del pasado 26 de junio, la OAP informó al Comité sobre las acciones adelantadas con respecto al Plan de Mejoramiento Institucional</t>
  </si>
  <si>
    <t>La OCI presentó el Informe de Seguimiento al Plan de Mejoramiento Institucional realizando comentarios, seguimiento y dejando tareas sobre 52 hallazgos revisados.</t>
  </si>
  <si>
    <t>17.8 Evaluación de la efectividad de las acciones incluidas en los Planes de mejoramiento producto de las auditorías internas y de entes externos. (3ª Línea)</t>
  </si>
  <si>
    <r>
      <t xml:space="preserve">
</t>
    </r>
    <r>
      <rPr>
        <sz val="11"/>
        <color theme="4"/>
        <rFont val="Arial Narrow"/>
        <family val="2"/>
      </rPr>
      <t>De acuerdo a la Guía de Implementación de MIPG aplicando los lineamientos de la dimensión 7 referentes al Control Interno.</t>
    </r>
    <r>
      <rPr>
        <sz val="11"/>
        <color theme="1"/>
        <rFont val="Arial Narrow"/>
        <family val="2"/>
      </rPr>
      <t xml:space="preserve">
A través del SIPG en el proceso de Seguimiento y Evaluación cuenta con el Instructivo usuario SGI módulo plan de mejoramiento. </t>
    </r>
  </si>
  <si>
    <t>Durante la sesión tres (3) del Comité Institucional de Gestión y Desempeño, del pasado 24 de junio la OAP informó al Comité sobre las acciones adelantadas con respecto al Plan de Mejoramiento Institucional</t>
  </si>
  <si>
    <t>17.9 Las deficiencias de control interno son reportadas a los responsables de nivel jerárquico superior, para tomar la acciones correspondientes?</t>
  </si>
  <si>
    <r>
      <t>La entidad cuenta dentro del proceso de Evaluación Independiente, con la Política de Operación del Proceso Evaluación Independiente</t>
    </r>
    <r>
      <rPr>
        <sz val="11"/>
        <rFont val="Arial Narrow"/>
        <family val="2"/>
      </rPr>
      <t xml:space="preserve">, versión 6 de julio de 2025, </t>
    </r>
    <r>
      <rPr>
        <sz val="11"/>
        <color theme="1"/>
        <rFont val="Arial Narrow"/>
        <family val="2"/>
      </rPr>
      <t>en este se establece que: "La Oficina de Control Interno presentará los informes resultados de la evaluación y seguimiento, de conformidad con los términos establecidos y con criterios de oportunidad, exactitud, confiabilidad, a la Dirección General, a los responsables de los procesos y a los órganos de control externo”</t>
    </r>
  </si>
  <si>
    <t>ANÁLISIS DE RESULTADOS PARA LA TOMA DE DECISIONES</t>
  </si>
  <si>
    <t xml:space="preserve">Se encuentra presente  y funcionando, pero requiere mejoras frente a su diseño, ya que  opera de manera efectiva
</t>
  </si>
  <si>
    <t>Se encuentra presente  y funcionando, pero requiere mejoras frente a su diseño, ya que  opera de manera efectiva</t>
  </si>
  <si>
    <t>Cuando en el análisis de los requerimientos en los diferentes componentes del MECI se cuente con aspectos evaluados en nivel 2 (presente) y 2 (funcionando); 3 (presente) y 1 (funcionando); 3 (presente) y 2 (funcionando);2 (presente) y 1 (funcionando)</t>
  </si>
  <si>
    <t>Cuando en el análisis de los requerimientos en los diferentes componentes del MECI se cuente con aspectos evaluados en nivel 1 (presente) y 1 (funcionando); ;1 (presente) y 2 (funcionando); 1(presente) y 3 (funcionando).</t>
  </si>
  <si>
    <t>Registro de deficiencias</t>
  </si>
  <si>
    <t>RESULTADOS</t>
  </si>
  <si>
    <t>FUENTE DEL ANALISIS</t>
  </si>
  <si>
    <t>CONTROL PRESENTE</t>
  </si>
  <si>
    <t>CONTROL FUNCIONANDO</t>
  </si>
  <si>
    <t>OBSERVACIONES DEL CONTROL</t>
  </si>
  <si>
    <t>NIVEL DE CUMPLIMIENTO-ASPECTOS PARTICULARES POR COMPONENTE</t>
  </si>
  <si>
    <t>NIVEL DE CUMPLIMIENTO- DEL COMPONENTE</t>
  </si>
  <si>
    <t>RECOMENDACIONES DESDE LA MIRADA DE EVALUACION INDEPENDIENTE</t>
  </si>
  <si>
    <t>PLANES DE MEJORAMIENTO (Donde aplique)</t>
  </si>
  <si>
    <t>Id. Requerimiento</t>
  </si>
  <si>
    <t>Descripción del Lineamiento</t>
  </si>
  <si>
    <t>Pregunta Indicativa</t>
  </si>
  <si>
    <t>Accion(es) de Mejora</t>
  </si>
  <si>
    <t>Fecha de Inicio</t>
  </si>
  <si>
    <t>Fecha Terminacion</t>
  </si>
  <si>
    <t>Responsable</t>
  </si>
  <si>
    <t>Seguimiento</t>
  </si>
  <si>
    <t>% de avance</t>
  </si>
  <si>
    <t>Nombre de la Entidad:</t>
  </si>
  <si>
    <t>Departamento Administrativo de la Función Pública DAFP</t>
  </si>
  <si>
    <t>Periodo Evaluado:</t>
  </si>
  <si>
    <t xml:space="preserve"> Junio - diciembre 2025</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</si>
  <si>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</si>
  <si>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</si>
  <si>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</si>
  <si>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</si>
  <si>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Aunque la entidad ha desarrollado varias políticas y procedimientos que buscan integrar y fortalecer los componentes del Sistema de Control Interno, existen evidentes limitaciones en la integración y funcionamiento conjunto de todos los componentes. Por ejemplo, no se han realizado varias sesiones clave del Comité Institucional de Coordinación de Control Interno (CICCI), lo que ha limitado la comunicación y coordinación de las actividades de monitoreo y evaluación del sistema. Además, aunque se han implementado planes de auditoría, aún hay componentes, como la identificación de controles específicos para ciertos riesgos (fiscales, de integridad, de fuga de conocimiento), que están en proceso de implementación, lo cual afecta la integración del sistema en su totalidad. </t>
  </si>
  <si>
    <t>¿Es efectivo el sistema de control interno para los objetivos evaluados? (Si/No) (Justifique su respuesta):</t>
  </si>
  <si>
    <t>Si</t>
  </si>
  <si>
    <t>El sistema de control interno ha demostrado ser efectivo en varios aspectos clave, como la presentación de informes y seguimientos a la alta dirección, la implementación de auditorías basadas en riesgos y el cumplimiento de un porcentaje significativo del Plan Anual de Auditorías y Seguimientos (67%). A pesar de los desafíos en la identificación de controles específicos para algunos riesgos, la OCI ha logrado realizar un seguimiento adecuado de los riesgos y realizar recomendaciones sobre los hallazgos identificados. Además, la entidad ha continuado con la gestión de los procesos de evaluación y seguimiento a la gestión institucional, lo que indica un nivel de efectividad en el monitoreo de los controles existentes y las acciones de mejora.</t>
  </si>
  <si>
    <t>La entidad cuenta dentro de su Sistema de Control Interno, con una institucionalidad (Líneas de defensa)  que le permita la toma de decisiones frente al control (Si/No) (Justifique su respuesta):</t>
  </si>
  <si>
    <t xml:space="preserve">La entidad tiene claramente definidas y operando las tres líneas de defensa dentro de su Sistema de Control Interno, lo que facilita una estructura robusta para la toma de decisiones frente al control:
La entidad ha establecido un marco institucional claro dentro del Sistema de Control Interno, incluyendo la Política de Administración de Riesgos v20, que define responsabilidades para cada una de las líneas de defensa. Además, se han desarrollado procedimientos como el Plan Anual de Auditorías y Seguimientos, que permiten evaluar el estado del sistema de control interno y gestionar los riesgos identificados. La OCI ha cumplido con el seguimiento a los planes de acción y ha presentado informes detallados a la alta dirección, lo que facilita la toma de decisiones informadas respecto al control. Sin embargo, la falta de algunos controles específicos, especialmente relacionados con los riesgos fiscales, de integridad y fuga de conocimiento, todavía representa una área de mejora. A pesar de esto, la institucionalidad y los mecanismos establecidos brindan una base sólida para la toma de decisiones en relación al control.
</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</si>
  <si>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</si>
  <si>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</si>
  <si>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</si>
  <si>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</si>
  <si>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</si>
  <si>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</si>
  <si>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r>
      <t xml:space="preserve">Fortalezas
</t>
    </r>
    <r>
      <rPr>
        <sz val="10"/>
        <rFont val="Arial"/>
        <family val="2"/>
      </rPr>
      <t>1.	La Oficina de Control Interno (OCI) ha promovido activamente el conocimiento de los roles de las líneas de defensa mediante campañas de comunicación, lo que ha fortalecido la comprensión sobre las responsabilidades en la gestión de riesgos dentro de la entidad.
2.	En cuanto a la gestión del talento humano, la entidad ha dado seguimiento adecuado a la ejecución de los planes institucionales, como el Plan Estratégico de Talento Humano 2025, y ha mantenido una evaluación periódica de las actividades del PETH, contribuyendo a una mayor claridad sobre la evaluación del desempeño y la gestión del personal.
3.	Se ha avanzado en la ejecución presupuestal con un seguimiento detallado a los contratos prioritarios y se han realizado seguimientos periódicos, lo que evidencia un control sobre los recursos financieros.
4.	La planificación institucional para 2025 está bien definida, con avances significativos en la ejecución del Plan de Acción Anual y el Plan Estratégico, que han sido aprobados en los comités directivos y de gestión.
5.	La OCI ha tenido un papel activo en la revisión y monitoreo de la ejecución de los planes de mejoramiento y en la identificación de desviaciones, lo cual demuestra un control efectivo de la gestión institucional.</t>
    </r>
    <r>
      <rPr>
        <b/>
        <sz val="10"/>
        <rFont val="Arial"/>
        <family val="2"/>
      </rPr>
      <t xml:space="preserve">
Debilidades
</t>
    </r>
    <r>
      <rPr>
        <sz val="10"/>
        <rFont val="Arial"/>
        <family val="2"/>
      </rPr>
      <t>1.	Falta de publicación de los seguimientos de los planes de acción. 
2.	La Resolución 054 de 2017 sobre las Peticiones, Quejas, Reclamos, Solicitudes y Denuncias también requiere revisión para adecuarse a las prácticas actuales de la entidad, tal como fue recomendado en el informe de PQRSD de la OCI.
3.	Aunque se identificaron riesgos de corrupción y fiscales, durante la vigencia 2025 no se ha realizado una identificación efectiva a los controles de los riesgos de Fuga de Conocimiento, Integridad y Fiscales, lo que evidencia una falta de gestión continua.
4.	No se ha realizado una evaluación efectiva del impacto del Plan Institucional de Capacitación (PIC), lo cual es clave para asegurar que las actividades de formación se alineen a las necesidades estratégicas de la entidad.
5.	La falta de un capítulo específico en el PETH relacionado con la evaluación de actividades de ingreso y permanencia del personal es una oportunidad de mejora importante del sistema de Control Interno.
Durante la vigencia 2025, la entidad ha demostrado un compromiso con el fortalecimiento del Sistema de Control Interno, avanzando en el proceso de reestructuración institucional que ha incluido la revisión y actualización de políticas, procedimientos y marcos normativos clave. Estas acciones han permitido afianzar prácticas orientadas a la gestión del riesgo, el cumplimiento normativo, la transparencia y la integridad pública, elementos esenciales para el funcionamiento de un ambiente de control robusto y sostenible.
Sin embargo, se identifican áreas estratégicas que requieren una atención más decidida para lograr una implementación plena del Modelo Estándar de Control Interno (MECI) y una articulación efectiva con los principios del Modelo Integrado de Planeación y Gestión (MIPG). El rezago en la actualización de documentos institucionales fundamentales (como políticas de integridad y conflicto de interés), y la necesidad de una mayor apropiación del enfoque de autocontrol por parte de los líderes de proceso. Estas brechas representan factores críticos que debilitan la cultura organizacional en torno al control, la prevención y la rendición de cuentas.
La reducción del 20% en el puntaje del componente –de 85% en diciembre de 2024 a 65% en junio de 2025– refleja no sólo un retroceso en la percepción de madurez del ambiente de control, sino también la urgencia de implementar las recomendaciones formuladas por esta Oficina, especialmente aquellas relacionadas con la gobernanza del control, la activación de instancias de coordinación y la sistematización de las acciones de mejora derivadas de la identificación de riesgos.
Se recomienda analizar la viabilidad de incorporar el riesgo asociado a la infraestructura física del edificio de Función Pública dentro del mapa de riesgos institucional, con el fin de reconocer formalmente su impacto potencial sobre la operación misional y administrativa. Para ello, se deberá adelantar el proceso de documentación, identificación y valoración de los controles existentes, así como establecer las medidas correctivas necesarias que contribuyan a la mitigación efectiva del riesgo y al fortalecimiento del ambiente de control.
Para consolidar un ambiente de control más efectivo, proactivo y orientado a resultados, se recomienda como prioridad:
•	Reactivar las instancias estratégicas de control y gestión (CICCI),
•	Finalizar la actualización de normativas clave relacionadas con integridad, riesgos y talento humano,
•	Robustecer los mecanismos de seguimiento y control desde la primera línea,
•	Y garantizar la trazabilidad y medición de los efectos de las acciones correctivas y preventivas adoptadas.
Un entorno de control fuerte no solo garantiza el cumplimiento legal y la eficiencia operativa, sino que es fundamental para generar valor público, fortalecer la confianza ciudadana y consolidar una administración orientada al logro de los fines del Estado.</t>
    </r>
  </si>
  <si>
    <r>
      <rPr>
        <b/>
        <sz val="10"/>
        <rFont val="Arial"/>
        <family val="2"/>
      </rPr>
      <t>Fortalezas</t>
    </r>
    <r>
      <rPr>
        <sz val="10"/>
        <rFont val="Arial"/>
        <family val="2"/>
      </rPr>
      <t xml:space="preserve">:
• Existe un esquema establecido en el Manual Operativo del Modelo Integrado de Planeación y Gestión y la Política de Administración de Riesgos (versión julio de 2024), lo que proporciona claridad sobre las responsabilidades y controles.
• Los roles y tiempos de reporte están definidos en el instructivo de usuario del Sistema de Gestión Institucional (SGI), facilitando la implementación operativa.
• Se realizan capacitaciones masivas sobre administración de riesgos y control interno, aumentando el nivel de conocimiento en esta línea.
• Existencia de un marco normativo sólido, teniendo en cuenta la reglamentación como la Resolución 126 de 2018 y la Política de Administración de Riesgos fortalecen la función supervisora.
• El Comité Institucional de Coordinación de Control Interno realiza un seguimiento periódico y emite recomendaciones para ajustar normativas (por ejemplo, la propuesta de actualizar la Resolución 442 de 2017).
• Se identifican alertas importantes, como la actualización de riesgos para la vigencia 2024 y las fallas en reportes de riesgos.
• Las Auditorías basadas en riesgos, las cuales se han enfocado en procesos críticos, como la acción integral en la administración pública, identificando incumplimientos importantes en la gestión de riesgos.
• Existe un análisis constante de los hallazgos, lo que facilita cargar y gestionar hallazgos relevantes en el SGI, como los relacionados con el riesgo 075.
</t>
    </r>
    <r>
      <rPr>
        <b/>
        <sz val="10"/>
        <rFont val="Arial"/>
        <family val="2"/>
      </rPr>
      <t>Debilidades</t>
    </r>
    <r>
      <rPr>
        <sz val="10"/>
        <rFont val="Arial"/>
        <family val="2"/>
      </rPr>
      <t xml:space="preserve">:
• Incumplimiento en la gestión de riesgos: Ejemplo claro es el caso del riesgo 075, que no fue incluido en el mapa de riesgos institucional a tiempo por la Dirección de Gestión y Desempeño Institucional (DGDI).
• Falta de seguimiento adecuado a las responsabilidades: Se evidenció que no siempre se reportan avances y evidencias en los plazos establecidos, lo que puede generar vacíos en la gestión del riesgo.
• Débil cumplimiento en controles: La primera línea no siempre adopta o mejora controles según lo establecido, lo que afecta la efectividad de la mitigación de riesgos.
• Falta de integridad en el reporte de riesgos: Ejemplo del riesgo de corrupción no gestionado en el SGI por parte de la DGDI, lo que afecta la capacidad supervisora.
• Se recomienda una mayor articulación entre los comités de gestión y desempeño y el de control interno, para garantizar una supervisión efectiva.
Al evaluar el componente Ambiente de Control, se logró evidenciar que Función Pública, cuenta con fortalezas y debilidades en la implementación de la política de integridad (valores), principios y asignaciones de responsabilidades por parte de la Alta Dirección, así como en el establecimiento del Proceso de Direccionamiento Estratégico y mejoramiento de las competencias y capacidades de sus funcionarios. Es importante anotar que, frente al semestre inmediatamente anterior, se observa una disminución del 3% en la calificación de este componente, debido a que se identificaron falencias en el seguimiento de controles, riesgos y planes de mejoramiento por parte de la segunda línea de defensa. Del mismo modo, en las sesiones de los Comités Directivos y de Gestión y Desempeño Institucional, se efectuaron seguimientos a la ejecución presupuestal, procesos y procedimientos, riesgos institucionales, entre otros. </t>
    </r>
  </si>
  <si>
    <t>Evaluación de riesgos</t>
  </si>
  <si>
    <r>
      <rPr>
        <b/>
        <sz val="10"/>
        <color theme="1"/>
        <rFont val="Arial"/>
        <family val="2"/>
      </rPr>
      <t xml:space="preserve">Fortalezas:
</t>
    </r>
    <r>
      <rPr>
        <sz val="10"/>
        <color theme="1"/>
        <rFont val="Arial"/>
        <family val="2"/>
      </rPr>
      <t>1.	Se evidencia un marco normativo actualizado y adecuado, la entidad ha actualizado procedimientos clave como el Procedimiento de Formulación de Planes Estratégicos e Institucionales (versión 8) y el Manual del Sistema Integrado de Planeación y Gestión (SIPG). Estas actualizaciones permiten una alineación con las normativas vigentes y proporcionan una base sólida para la planificación institucional, el seguimiento de los objetivos estratégicos y la gestión de riesgos.
2.	La entidad ha identificado y documentado los riesgos institucionales (96 en total), que incluyen riesgos de gestión, corrupción y seguridad digital. La presencia del Sistema de Gestión Institucional (SGI) facilita la consolidación de esta información y permite un seguimiento adecuado de los riesgos. Además, la política de administración de riesgos v20 está alineada con las mejores prácticas y proporciona lineamientos claros para la identificación, evaluación y mitigación de riesgos de acuerdo a los lineamientos establecidos en la Guía para la Administración del Riesgo y el diseño de controles en entidades públicas. 
3.	La Oficina de Control Interno (OCI) ha presentado informes detallados sobre la gestión de las dependencias, lo que facilita la identificación de avances y áreas de mejora. Esto también incluye el seguimiento a los riesgos materializados, como el caso de los pagos de comisiones en áreas específicas, y el monitoreo constante de los entregables institucionales.
4.	Se ha dado seguimiento a los planes de mejoramiento institucional, analizando los hallazgos de las auditorías y gestionando mesas de trabajo para la revisión y modificación de los riesgos y controles, lo cual contribuye a la mejora continua y a la resolución de deficiencias operativas</t>
    </r>
    <r>
      <rPr>
        <b/>
        <sz val="10"/>
        <color theme="1"/>
        <rFont val="Arial"/>
        <family val="2"/>
      </rPr>
      <t xml:space="preserve">.
Debilidades:
</t>
    </r>
    <r>
      <rPr>
        <sz val="10"/>
        <color theme="1"/>
        <rFont val="Arial"/>
        <family val="2"/>
      </rPr>
      <t>1.	Se han realizado sesiones de los Comités Directivos y de Gestión y Desempeño, no obstante la falta de un seguimiento más específico a la segregación de responsabilidades en estos comités, evidencian una brecha en la coordinación y supervisión integral de la gestión de riesgos a nivel institucional. Esta falta de seguimiento podría generar dificultades en la implementación efectiva de los controles y en la alineación de las acciones frente a los riesgos identificados.
2.	Aunque se han identificado riesgos como el pago de comisiones en las áreas de talento humano y financiera, el registro de acciones correctivas aún está pendiente, lo que refleja una posible falta de inmediatez en la implementación de medidas correctivas frente a la materialización de riesgos.
3.	A pesar de que se ha aprobado la actualización de la política de riesgos para el 2025, hay retrasos en la inclusión de los controles necesarios para los riesgos identificados de tipo fiscal, de integridad y de fuga de conocimiento. Este retraso podría implicar una falta de efectividad en la gestión de estos riesgos críticos.
4. Se recomienda la actualización de la política de riesgos del Instituto conforme a los lineamientos de la Guía de Administración del Riesgos Versión 7.
Durante la vigencia 2025, la entidad mostró progresos relevantes en la actualización de políticas y procedimientos que soportan las actividades de control. No obstante, persisten desafíos sustanciales en su implementación efectiva, seguimiento y articulación interdependencias. La débil ejecución de controles ante riesgos materializados, la falta de trazabilidad en la aplicación de medidas correctivas y los incumplimientos en entregables críticos evidencian una desconexión entre la planificación y la operación del control.
El descenso del puntaje del componente, que pasó del 82% al 65%, refleja la necesidad urgente de fortalecer los controles operacionales y de segundo nivel, mejorar los mecanismos de reporte y seguimiento, y fomentar una cultura organizacional orientada a la gestión del riesgo más que al cumplimiento formal.
Desde la Oficina de Control Interno se recomienda:
•	Activar mecanismos de supervisión de controles desde la primera y segunda línea.
•	Implementar rutas de verificación de cumplimiento de entregables asociados al control.
•	Fortalecer la articulación entre áreas operativas y estratégicas para el diseño de controles integrales, eficaces y verificables.
•	Acompañar a las dependencias en la comprensión de los controles como una herramienta de valor público y de garantía para la integridad institucional.</t>
    </r>
  </si>
  <si>
    <r>
      <rPr>
        <b/>
        <sz val="10"/>
        <rFont val="Arial"/>
        <family val="2"/>
      </rPr>
      <t>Fortalezas</t>
    </r>
    <r>
      <rPr>
        <sz val="10"/>
        <rFont val="Arial"/>
        <family val="2"/>
      </rPr>
      <t xml:space="preserve">
• Los líderes de proceso formulan objetivos específicos, medibles, alcanzables, relevantes y delimitados en el tiempo, asegurando su alineación con los planes estratégicos e institucionales.
• Los líderes de proceso identifican, documentan y gestionan acciones correctivas frente a riesgos materializados en el marco del SGI, siguiendo procedimientos establecidos 
• Existe un vínculo entre los objetivos estratégicos y operativos, asegurando coherencia en la ejecución de las actividades del Plan de Acción Institucional 
• La OAP gestiona el Mapa de Riesgos Institucional y consolida datos de planeación, gestión de riesgos y desempeño en el SGI
• Se realizan revisiones periódicas del mapa de riesgos y se aprueban políticas actualizadas para incluir riesgos fiscales y de corrupción
• Se lleva un control del nivel de cumplimiento de los planes de acción y planes de mejora institucionales, lo cual respalda la toma de decisiones informadas 
• La OCI realiza auditorías basadas en riesgos que evalúan controles y objetivos establecidos, identificando áreas de mejora y garantizando recomendaciones alineadas con la misión institucional
• Se realizan seguimientos específicos a riesgos de corrupción, sin evidencia de materialización en las vigencias evaluadas, y se documentan acciones de mejora en el Plan Anticorrupción
</t>
    </r>
    <r>
      <rPr>
        <b/>
        <sz val="10"/>
        <rFont val="Arial"/>
        <family val="2"/>
      </rPr>
      <t>Debilidades</t>
    </r>
    <r>
      <rPr>
        <sz val="10"/>
        <rFont val="Arial"/>
        <family val="2"/>
      </rPr>
      <t xml:space="preserve">
• Se identificó que algunos riesgos, como el 075, no fueron registrados en el SGI, incumpliendo las políticas internas 
• La desactualización de procedimientos y guías afecta la articulación entre direcciones y procesos, como se evidenció en la Auditoría al proceso de Acción Integral
• No se incluyen todos los riesgos relevantes, como los de corrupción en ciertos procesos, lo cual compromete la gestión integral del riesgo 
• Aunque el sistema es robusto, aún persisten áreas que no cumplen con el cargue de información en tiempo y forma 
• Algunas auditorías, como las de Acción Integral, evidencian falta de actualización de documentos y procedimientos que afectan la eficacia de los controles
Una vez valorado el Componente Evaluación de Riesgos, se observa una disminución de 3% en la calificación frente al primer semestre del año 2024. Esto obedece a que a pesar de que existe un marco robusto para la planeación y gestión de riesgos, con políticas actualizadas, herramientas tecnológicas (SGI) y participación activa de las tres líneas de defensa, persisten problemas en la actualización de registros, desarticulación entre procesos y omisiones en la cobertura de riesgos, lo que afecta la efectividad del sistema integral de control interno.</t>
    </r>
  </si>
  <si>
    <t>Actividades de control</t>
  </si>
  <si>
    <r>
      <rPr>
        <b/>
        <sz val="10"/>
        <color theme="1"/>
        <rFont val="Arial"/>
        <family val="2"/>
      </rPr>
      <t xml:space="preserve">Fortalezas:
</t>
    </r>
    <r>
      <rPr>
        <sz val="10"/>
        <color theme="1"/>
        <rFont val="Arial"/>
        <family val="2"/>
      </rPr>
      <t xml:space="preserve">1.	La entidad ha consolidado un marco normativo robusto que incluye el Manual de Funciones y Competencias Laborales, y diversas resoluciones clave que reglamentan las actividades operativas y de control, lo que contribuye a una estructura organizativa clara y alineada con las disposiciones legales y administrativas vigentes.
2.	Se cuenta con una arquitectura de control institucional formalizada, documentada y alineada con los procesos estratégicos y misionales, lo cual facilita la identificación y gestión de riesgos en diferentes niveles de la organización.
3.	La entidad ha establecido un monitoreo sistemático de los riesgos a través de la política de administración de riesgos. Este seguimiento se realiza con periodicidades ajustadas según la calificación de los riesgos, lo que demuestra una vigilancia constante y detallada de los posibles impactos operativos.
4.	A través de auditorías de primera y segunda línea, se garantiza la actualización de los procesos, la identificación de riesgos y la implementación de controles adecuados. Además, la entidad ha consolidado un sistema de informes públicos en el portal web, lo que permite a la alta dirección y a la ciudadanía conocer los hallazgos, desviaciones y recomendaciones derivadas de estas auditorías.
</t>
    </r>
    <r>
      <rPr>
        <b/>
        <sz val="10"/>
        <color theme="1"/>
        <rFont val="Arial"/>
        <family val="2"/>
      </rPr>
      <t xml:space="preserve">Debilidades:
</t>
    </r>
    <r>
      <rPr>
        <sz val="10"/>
        <color theme="1"/>
        <rFont val="Arial"/>
        <family val="2"/>
      </rPr>
      <t>1. No publicación de los seguimientos realizados a los planes de acción en la página web del Instituto 
2. Aunque se ha avanzado en la identificación de riesgos, aún se encuentran pendientes los controles específicos para las nuevas categorías de riesgo incluidas en la política, tales como los riesgos fiscales, de fuga de conocimiento y de integridad. Esta demora puede generar vacíos en la respuesta ante estos riesgos emergentes.
3 .La cultura organizacional aún muestra bajos niveles de apropiación del control como responsabilidad compartida, lo cual limita la operatividad de la segunda línea de defensa.
4. No se presentó la Evaluación del Plan Estrategico del Talento Humano 2024 lo que incumple con la medición y revisión de la efectividad de las acciones desarrolladas en por el Grupo de Gestión Humana durante el 2024.
Durante la vigencia 2025, la entidad ha avanzado en la consolidación de un sistema de control interno alineado con normativas internacionales y con un enfoque en la gestión de riesgos. Sin embargo, se identificaron aspectos críticos que requieren atención prioritaria,  la ausencia de evaluaciones sistemáticas en los comités directivos y de gestión, y la demora en la identificación de controles frente a riesgos emergentes. Estos vacíos comprometen la articulación efectiva del sistema de control, especialmente en lo referente a la capacidad de respuesta oportuna ante situaciones de riesgo.
El componente de Actividades de Control refleja avances en la estructuración documental de los controles internos y su alineación con los procesos estratégicos, lo cual constituye una base para su desarrollo futuro. No obstante, persisten deficiencias en la implementación operativa de dichos controles, particularmente en la capacidad institucional de responder adecuadamente a eventos de riesgo materializados y en el cumplimiento de acciones correctivas previamente identificadas. Este escenario pone de manifiesto la necesidad de reforzar los mecanismos de verificación, seguimiento y evaluación que permitan cerrar oportunamente las brechas de control detectadas, y consolidar un sistema de control interno proactivo que prevenga, detecte y corrija desviaciones de manera oportuna.
La reducción del puntaje del componente de Actividades de Control, que pasó de 83% en diciembre de 2024 a 75% en junio de 2025, obedece principalmente a debilidades en la implementación efectiva de los controles definidos, al incumplimiento de entregables claves en los planes de mejoramiento, y a la limitada capacidad de respuesta frente a riesgos materializados. A pesar de contar con un modelo de control formalizado y documentado, la falta de seguimiento riguroso a su funcionamiento real impidió evidenciar mejoras sostenidas en la mitigación de riesgos críticos. Este comportamiento evidencia una desconexión entre el diseño técnico de los controles y su apropiación práctica por parte de las dependencias responsables, situación que impactó negativamente en el resultado consolidado del componente para el primer semestre.
Ante este panorama, la Oficina de Control Interno recomienda fortalecer la implementación operativa de los controles definidos en los procesos institucionales, mediante la incorporación de mecanismos periódicos de verificación que permitan medir objetivamente su eficacia. Igualmente, se sugiere diseñar una estrategia de fortalecimiento institucional que incentive la participación activa de las dependencias responsables en el cierre de acciones correctivas, contribuyendo así a consolidar la segunda línea de defensa. Finalmente, se recomienda establecer indicadores de desempeño asociados a la eficacia del control, integrados en los informes periódicos de avance institucional, con el fin de fomentar una cultura organizacional basada en la mejora continua, la rendición de cuentas y la prevención efectiva de riesgos.</t>
    </r>
  </si>
  <si>
    <r>
      <rPr>
        <b/>
        <sz val="10"/>
        <rFont val="Arial"/>
        <family val="2"/>
      </rPr>
      <t>Fortalezas</t>
    </r>
    <r>
      <rPr>
        <sz val="10"/>
        <rFont val="Arial"/>
        <family val="2"/>
      </rPr>
      <t xml:space="preserve">:
• La entidad ha implementado un Manual de Funciones y Competencias Laborales, apoyado por múltiples resoluciones que reglamentan las actividades.
• Se han realizado procesos de selección y evaluaciones que aseguran que los servidores públicos cuenten con objetivos claros y competencias adecuadas.
• Los sistemas de gestión cumplen con estándares como NTC ISO 9001:2015, ISO/IEC 27001, y la Ley de Transparencia, fortaleciendo el diseño estructural del control.
• La Política de Administración de Riesgos v20 define roles y responsabilidades claras, integrando lineamientos internacionales como el MIPG y MECI.
• CICCI como instancia estratégica presenta resultados y recomendaciones a tiempo, facilitando la toma de decisiones informadas.
• La OCI realiza auditorías periódicas, detecta desviaciones, y propone planes de mejoramiento institucional.
</t>
    </r>
    <r>
      <rPr>
        <b/>
        <sz val="10"/>
        <rFont val="Arial"/>
        <family val="2"/>
      </rPr>
      <t>Debilidades</t>
    </r>
    <r>
      <rPr>
        <sz val="10"/>
        <rFont val="Arial"/>
        <family val="2"/>
      </rPr>
      <t>:
• S pudo evidenciar que hay omisiones en el Registro Público de Carrera Administrativa (RPCA), con actos administrativos no registrados y documentación incompleta en Yaksa.
• Algunos procedimientos y políticas no están actualizados, afectando la correcta articulación entre prácticas y controles. La desactualización de procedimientos limita la capacidad de las auditorías para reflejar las prácticas y controles actuales.
• Riesgos significativos, como el riesgo 075, no están registrados en el SGI, incumpliendo políticas internas.
• Las auditorías muestran áreas con bajos niveles de cumplimiento de normatividad y controles (22.2% en Gestión Contractual y 46.9% en Acción Integral).
• No se incluyen riesgos como corrupción en el mapa de riesgos, a pesar de su relevancia en procesos contractuales.
•  Aunque la mayoría de los hallazgos cumplen normatividad, hay debilidades que generan riesgos operativos y estratégicos, requiriendo mayor agilidad en la implementación de acciones correctivas.
Con respecto a la valoración del componente Actividades de Control, se observa que el componente disminuyo 5% con respecto a la calificación del primer semestre de 2024. Esto se debe a que en la valoración de los lineamientos se identificaron debilidades y fortalezas en cada uno de los componentes, se pudo validar que existe una estructura sólida que integra normatividad, herramientas tecnológicas y políticas claras, sin embargo, persisten problemas de documentación incompleta y desactualización de procedimientos, la falta de registro de riesgos clave y la omisión de algunos controles específicos (como corrupción) exponen a la entidad a riesgos críticos. Además, se identificaron áreas operativas con niveles de cumplimiento deficientes que deben fortalecerse mediante la estandarización de controles y procesos.</t>
    </r>
  </si>
  <si>
    <t>Información y comunicación</t>
  </si>
  <si>
    <r>
      <rPr>
        <b/>
        <sz val="10"/>
        <color theme="1"/>
        <rFont val="Arial"/>
        <family val="2"/>
      </rPr>
      <t xml:space="preserve">Fortalezas:
</t>
    </r>
    <r>
      <rPr>
        <sz val="10"/>
        <color theme="1"/>
        <rFont val="Arial"/>
        <family val="2"/>
      </rPr>
      <t>1.	La entidad ha fortalecido su gestión institucional mediante la implementación y mantenimiento de varios sistemas clave, como SIGEP, FURAG, SUIT, SIE, APLICATIVO INTEGRIDAD PUBLICA, y SGI, que facilitan la administración de la información y la toma de decisiones. Además, se ha avanzado en la auditoría interna de estos sistemas, lo que garantiza la fiabilidad de los procesos y procedimientos establecidos.
2.	Función Pública ha establecido y promovido diversas estrategias de comunicación y plataformas de denuncia que favorecen la participación ciudadana y el control social. La actualización constante de los canales de comunicación externos, como el portal web institucional y el canal de "Denuncias por Actos de Corrupción", evidencia un esfuerzo institucional por fortalecer la transparencia.
3.	La entidad ha adoptado políticas para la gestión documental, contribuyendo a una mejor administración de la información interna y externa. La creación de documentos estratégicos como la "Política de Operación del Proceso de Comunicaciones" y la "Política de Operación del Proceso de Gestión Documental" permite un flujo de información ordenado y eficiente.
4.	La Oficina de Control Interno (OCI) ha desarrollado una campaña de comunicaciones que promueven la comprensión de las responsabilidades en el Modelo Integrado de Planeación y Gestión, mejorando la apropiación del servicio público entre los servidores de la entidad.</t>
    </r>
    <r>
      <rPr>
        <b/>
        <sz val="10"/>
        <color theme="1"/>
        <rFont val="Arial"/>
        <family val="2"/>
      </rPr>
      <t xml:space="preserve">
Debilidades:
</t>
    </r>
    <r>
      <rPr>
        <sz val="10"/>
        <color theme="1"/>
        <rFont val="Arial"/>
        <family val="2"/>
      </rPr>
      <t xml:space="preserve">1.	Aunque la entidad ha desarrollado planes y políticas, algunos compromisos no se han cumplido en los plazos establecidos, como el desarrollo de procedimientos de comunicación externa o la actualización de la caracterización de usuarios. Este tipo de retrasos puede afectar la calidad del servicio y el cumplimiento de metas estratégicas.
2.	Aunque existen políticas de seguridad de la información y administración de riesgos, algunos riesgos específicos, como los fiscales y de fuga de conocimiento, aún no cuentan con controles claramente definidos, lo que podría generar vulnerabilidades en la gestión institucional.
3.	A pesar de la recopilación de encuestas de satisfacción ciudadana, los resultados han señalado áreas críticas que requieren acciones correctivas. La necesidad de revisar y ajustar estos instrumentos de medición se hace urgente para mejorar la percepción del servicio ofrecido.
4, Falta de publicación de los planes de acción en la Página Web del Instituto. 
</t>
    </r>
    <r>
      <rPr>
        <b/>
        <sz val="10"/>
        <color theme="1"/>
        <rFont val="Arial"/>
        <family val="2"/>
      </rPr>
      <t xml:space="preserve">
</t>
    </r>
    <r>
      <rPr>
        <sz val="10"/>
        <color theme="1"/>
        <rFont val="Arial"/>
        <family val="2"/>
      </rPr>
      <t>Durante la vigencia 2025, el componente de Información y Comunicación mostró avances en la implementación de mecanismos orientados a mejorar la calidad, oportunidad y acceso a la información requerida para la toma de decisiones, así como en la consolidación de canales de comunicación interna con alcance transversal. Se identificaron esfuerzos por fortalecer el uso del Sistema de Gestión Institucional (SGI) para la difusión normativa y la trazabilidad de las acciones de control. Sin embargo, persisten deficiencias en la articulación efectiva de los flujos de información entre dependencias, la actualización oportuna de documentos estratégicos, y la integración de herramientas tecnológicas que soporten una comunicación interna más eficiente y alineada con los objetivos institucionales.
La reducción del puntaje del componente del 83% al 75% refleja una disminución en la capacidad institucional para garantizar el flujo efectivo de información relevante y oportuna. Entre los factores que explican esta disminución se encuentran la limitada gestión de los canales de retroalimentación con los grupos de valor internos, la baja frecuencia de espacios formales de divulgación institucional, y los retrasos en la actualización de documentos clave que orientan la gestión. Adicionalmente, se evidenció una baja participación de los líderes de proceso en la generación, uso y socialización de información crítica para la toma de decisiones, lo cual impacta directamente la efectividad de los controles y el aprendizaje organizacional.</t>
    </r>
  </si>
  <si>
    <r>
      <rPr>
        <b/>
        <sz val="10"/>
        <rFont val="Arial"/>
        <family val="2"/>
      </rPr>
      <t>Fortalezas</t>
    </r>
    <r>
      <rPr>
        <sz val="10"/>
        <rFont val="Arial"/>
        <family val="2"/>
      </rPr>
      <t xml:space="preserve">
• La entidad cuenta con múltiples sistemas de información robustos (SIGEP, FURAG, SUIT, SIE, SGI, etc.) que facilitan la captura y procesamiento de datos relevantes.
• La entidad cuenta con compromisos claros para implementar herramientas como el SGI para la gestión de riesgos operativos.
• Cuenta además con protocolos bien definidos en la Política de Operación del Proceso de Comunicación, la cual asegura el uso adecuado de canales internos.
• Mecanismos establecidos, como comités directivos y reuniones internas, permiten la comunicación de metas estratégicas.
• Las políticas y procedimientos son en su mayoría claros para orientar la comunicación externa, con protocolos específicos para redes sociales, medios y gestores regionales. Función Pública cuenta con una diversificación de canales de comunicación externa (portal web, redes sociales, boletines, comunicados) que refuerzan la transparencia institucional.
• La OCI valida avances en transparencia, seguridad de la información y cumplimiento normativo, incorporando hallazgos en el Plan de Mejoramiento Institucional. Adicionalmente se han implementado auditorías con cumplimiento mayoritario en normativas y controles adecuados.
</t>
    </r>
    <r>
      <rPr>
        <b/>
        <sz val="10"/>
        <rFont val="Arial"/>
        <family val="2"/>
      </rPr>
      <t>Debilidades</t>
    </r>
    <r>
      <rPr>
        <sz val="10"/>
        <rFont val="Arial"/>
        <family val="2"/>
      </rPr>
      <t xml:space="preserve">
• Inventarios desactualizados (última actualización de activos en 2019) y falta de mecanismos para garantizar su actualización regular. Actualmente está pendiente completar actividades clave, como la eliminación documental y la actualización de instrumentos en el SIPG.
• Procesos y guías desactualizados dificultan la integración de prácticas y controles en la gestión del riesgo.  Del mismo modo políticas y procedimientos desactualizados dificultan una supervisión efectiva de los flujos de información.
• Persisten fallas en la información cargada en plataformas externas (e.g., botón de transparencia en la página web) Revisar recomendaciones Matriz ITA.
La Oficina Asesora de Comunicaciones, tiene un papel importante al brindar recomendaciones al equipo directivo, para la presentación de la información. En el marco de la fuga de conocimiento se verificó que se realizaron estrategias que permitieron articular funciones a las acciones que permitan dar continuidad a estas a las labores del Departamento. 
Una vez valorado el Componente Información y Comunicación, se observa una disminución del 4% frente al primer semestre del año 2024. Esta disminución corresponde a que, en los canales internos de denuncia anónima, se pudo observar que no es claro el impacto y los medios de difusión de esta estrategia de manera externa a Función Pública, adicionalmente la Política de Operación del proceso de comunicaciones se encuentra desactualizada, y finalmente, el flujo de información estratégica de los Comités directivos, donde se comparten los lineamientos de la gestión estratégica, se pudo identificar que en algunas dependencias no es socializado con los servidores públicos, lo cual dificulta la consecución de los objetivos institucionales.  </t>
    </r>
  </si>
  <si>
    <t xml:space="preserve">Monitoreo </t>
  </si>
  <si>
    <r>
      <rPr>
        <b/>
        <sz val="10"/>
        <color theme="1"/>
        <rFont val="Arial"/>
        <family val="2"/>
      </rPr>
      <t xml:space="preserve">Fortalezas
</t>
    </r>
    <r>
      <rPr>
        <sz val="10"/>
        <color theme="1"/>
        <rFont val="Arial"/>
        <family val="2"/>
      </rPr>
      <t>1.	La Oficina de Control Interno (OCI) ha avanzado en la ejecución del Plan Anual de Auditorías y Seguimientos 2025, cumpliendo con el 67% de lo programado durante el primer semestre del año. Esta gestión ha permitido una revisión constante de la gestión institucional y la identificación de posibles áreas de mejora, como se evidenció en el informe de austeridad en el gasto.
2.	A través de la Política de Administración de Riesgos v20, la entidad ha establecido responsabilidades claras para cada línea de defensa, promoviendo un enfoque proactivo para la gestión de riesgos en todos los niveles. Aunque durante el primer semestre se han presentado algunas ausencias en los comités, la OCI ha garantizado el seguimiento a los procesos relacionados con la identificación y evaluación de los riesgos fiscales, de integridad y de fuga de conocimiento. No obstante, los controles específicos para mitigar estos riesgos aún están en proceso de identificación y definición.
3.	Se ha mantenido un flujo constante de informes y seguimientos a la alta dirección sobre los seguimientos realizados, lo que ha permitido que se revisen y evalúen las recomendaciones emitidas por los auditores de la OCI. Además, la entidad ha cumplido con la Ley 1474 de 2011, implementando acciones para mejorar la atención a las peticiones, quejas, reclamos y denuncias (PQRSD), lo cual refuerza la transparencia institucional.
4.	La OCI ha efectuado seguimientos a la gestión contractual a través de la supervisión de contratos y la identificación de desviaciones en los procedimientos, contribuyendo así al control del gasto público. A pesar de que no se recibieron visitas externas, la entidad mantiene un estado de cumplimiento en cuanto a la mejora continua de su Plan de Mejoramiento Institucional de la Contraloría de Bogotá.</t>
    </r>
    <r>
      <rPr>
        <b/>
        <sz val="10"/>
        <color theme="1"/>
        <rFont val="Arial"/>
        <family val="2"/>
      </rPr>
      <t xml:space="preserve">
Debilidades
</t>
    </r>
    <r>
      <rPr>
        <sz val="10"/>
        <color theme="1"/>
        <rFont val="Arial"/>
        <family val="2"/>
      </rPr>
      <t xml:space="preserve">1.	Aunque se han identificado áreas de mejora, como la actualización de la Política de Riesgos Institucionales y la Resolución 054 de 2017, no se ha logrado avanzar en la aprobación y ejecución de estos cambios, lo que limita la capacidad de la entidad para adaptar sus procedimientos a las nuevas realidades y necesidades del entorno.
2.	A pesar de la identificación de algunos riesgos materializados, como las desviaciones en la gestión de comisiones, no se ha evidenciado un seguimiento eficaz para corregir estas desviaciones a corto plazo. El informe de austeridad en el gasto, aunque útil, revela áreas donde el control no ha sido completamente efectivo.
</t>
    </r>
    <r>
      <rPr>
        <b/>
        <sz val="10"/>
        <color theme="1"/>
        <rFont val="Arial"/>
        <family val="2"/>
      </rPr>
      <t xml:space="preserve">
</t>
    </r>
    <r>
      <rPr>
        <sz val="10"/>
        <color theme="1"/>
        <rFont val="Arial"/>
        <family val="2"/>
      </rPr>
      <t>Durante la vigencia 2025, la entidad ha logrado avances en el monitoreo y control interno, destacándose el cumplimiento significativo del Plan Anual de Auditorías y la gestión de riesgos mediante la implementación de la Política de Administración de Riesgos v20.  La falta de avances en la modificación de algunas políticas clave han limitado el potencial de la entidad para realizar ajustes rápidos y necesarios en sus procedimientos. A pesar de las debilidades, la OCI ha mantenido un compromiso con la transparencia y la rendición de cuentas, y ha hecho un esfuerzo por seguir mejorando la eficiencia en el uso de los recursos. Para el segundo semestre, es esencial retomar las sesiones del CICCI, acelerar la modificación de políticas pendientes y reforzar el control sobre las desviaciones en la gestión fiscal y administrativa.
La disminución del puntaje de este componente, que pasó del 86% en diciembre de 2024 al 79% en junio de 2025, se explica principalmente por la debilidad en la ejecución oportuna de los planes de mejora derivados de auditorías internas, así como por la falta de evidencia suficiente sobre la evaluación periódica de los sistemas de monitoreo por parte de los comités directivos. Adicionalmente, la limitada trazabilidad frente al cierre de alertas y la ausencia de evaluación transversal en ciertos procesos estratégicos restaron efectividad al modelo de monitoreo implementado, impactando negativamente en la calificación del componente.</t>
    </r>
  </si>
  <si>
    <r>
      <rPr>
        <b/>
        <sz val="10"/>
        <rFont val="Arial"/>
        <family val="2"/>
      </rPr>
      <t>Fortalezas</t>
    </r>
    <r>
      <rPr>
        <sz val="10"/>
        <rFont val="Arial"/>
        <family val="2"/>
      </rPr>
      <t xml:space="preserve">
• Responsabilidad clara de los líderes de proceso para informar la materialización de riesgos y gestionar las alertas en el Sistema de Gestión Institucional (SGI).
• Procedimientos definidos para identificar y corregir desviaciones a través de planes de mejora.
• Cumplimiento de los acuerdos de niveles de servicio para atención a PQRSD y protocolos de servicio al ciudadano, en línea con la Ley 1474 de 2011.
• Monitoreo trimestral de las PQRSD y publicación de los informes, promoviendo transparencia.
• La Oficina Asesora de Planeación (OAP) consolida y revisa periódicamente la información sobre riesgos, asegurando la gestión adecuada en el SGI.
• Seguimiento a riesgos materializados mediante análisis de causas, identificación de acciones correctivas y preventivas.
• Presentación de resultados de auditorías y seguimientos a la Alta Dirección y comités relevantes, permitiendo la toma de decisiones informadas. Asi como la socialización de los avances en la gestión de riesgos durante las sesiones del Comité de Gestión y Desempeño Institucional.
• Ejecución del 100% del Plan Anual de Auditorías y Seguimientos en 2024, incluyendo auditorías específicas como las de acción integral.
• Inclusión de desviaciones identificadas en auditorías dentro del Plan de Mejoramiento Institucional, con actividades, responsables y tiempos definidos.
• Evaluación independiente del diseño y operación de controles para garantizar su efectividad.
</t>
    </r>
    <r>
      <rPr>
        <b/>
        <sz val="10"/>
        <rFont val="Arial"/>
        <family val="2"/>
      </rPr>
      <t>Debilidades</t>
    </r>
    <r>
      <rPr>
        <sz val="10"/>
        <rFont val="Arial"/>
        <family val="2"/>
      </rPr>
      <t xml:space="preserve">
• Se identificaron procesos, procedimientos y políticas desactualizadas, evidenciadas durante las auditorías realizadas por la OCI en 2024.
• Falta de integración de riesgos clave en el mapa institucional, como el riesgo 075, identificado, pero no gestionado en el SGI.
• Insuficiente seguimiento y control sobre la administración de riesgos por parte de los líderes de proceso.
• Debilidades en la marcación y documentación de alertas relacionadas con hechos de corrupción en el SGI.
• Limitado acompañamiento de la OAP a la primera línea para garantizar la correcta administración de riesgos y controles. Se hace necesario fortalecer la identificación de requerimientos funcionales para herramientas de gestión de riesgos.
• Persisten oportunidades de mejora en el diseño y comunicación de las acciones correctivas identificadas por la OCI.
Una vez calculado el componente de monitoreo, se observa que la calificación se mantuvo igual esto debido que se pudo identificar una limitada efectividad en la implementación de recomendaciones derivadas de auditorías, retrasando la actualización de procesos críticos. Adicionalmente, persisten desviaciones no subsanadas completamente, a pesar de los seguimientos realizados por la OCI.</t>
    </r>
  </si>
  <si>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</si>
  <si>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</si>
  <si>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</si>
  <si>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</si>
  <si>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</si>
  <si>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</si>
  <si>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</si>
  <si>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</si>
  <si>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</si>
  <si>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1.1</t>
  </si>
  <si>
    <t>Ambiente de Control</t>
  </si>
  <si>
    <t>La entidad demuestra el compromiso con la integridad (valores) y principios del servicio público</t>
  </si>
  <si>
    <t>Cuando en el análisis de los requerimientos en los diferenes componentes del MECI se cuente con aspectos evaluados en nivel 2 (presente) y 3 (funcionando).</t>
  </si>
  <si>
    <t>1.2</t>
  </si>
  <si>
    <t>Cuando en el análisis de los requerimientos en los diferenes componentes del MECI se cuente con aspectos evaluados en nivel 2 (presente) y 2 (funcionando); 3 (presente) y 1 (funcionando); 3 (presente) y 2 (funcionando).</t>
  </si>
  <si>
    <t>Deficiencia de control mayor</t>
  </si>
  <si>
    <t>1.3</t>
  </si>
  <si>
    <t>Cuando en el análisis de los requerimientos en los diferenes componentes del MECI se cuente con aspectos evaluados en nivel 1 (presente) y 1 (funcionando); 2 (presente) y 1 (funcionando).</t>
  </si>
  <si>
    <t>1.4</t>
  </si>
  <si>
    <t>1.5</t>
  </si>
  <si>
    <t>2.1</t>
  </si>
  <si>
    <t xml:space="preserve">Aplicación de mecanismos para ejercer una adecuada supervisión del Sistema de Control Interno </t>
  </si>
  <si>
    <t>2.2</t>
  </si>
  <si>
    <t>2.3</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</si>
  <si>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</si>
  <si>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</si>
  <si>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3.3</t>
  </si>
  <si>
    <t>3.2</t>
  </si>
  <si>
    <t>4.1</t>
  </si>
  <si>
    <t>Compromiso con la competencia de todo el personal, por lo que la gestión del talento humano tiene un carácter estratégico con el despliegue de actividades clave para todo el ciclo de vida del servidor público –ingreso, permanencia y retiro.</t>
  </si>
  <si>
    <t>4.2</t>
  </si>
  <si>
    <t>4.3</t>
  </si>
  <si>
    <t>4.4</t>
  </si>
  <si>
    <t>4.5</t>
  </si>
  <si>
    <t>4.6</t>
  </si>
  <si>
    <t>4.7</t>
  </si>
  <si>
    <t>5.1</t>
  </si>
  <si>
    <t>La entidad establece líneas de reporte dentro de la entidad para evaluar el funcionamiento del Sistema de Control Interno.</t>
  </si>
  <si>
    <t>5.2</t>
  </si>
  <si>
    <t>5.3</t>
  </si>
  <si>
    <t>5.4</t>
  </si>
  <si>
    <t>5.5</t>
  </si>
  <si>
    <t>5.6</t>
  </si>
  <si>
    <t>6.1</t>
  </si>
  <si>
    <t xml:space="preserve">Definición de objetivos con suficiente claridad para identificar y evaluar los riesgos relacionados: i)Estratégicos; ii)Operativos; iii)Legales y Presupuestales; iv)De Información Financiera y no Financiera.
</t>
  </si>
  <si>
    <t>6.2</t>
  </si>
  <si>
    <t>6.3</t>
  </si>
  <si>
    <t>7.1</t>
  </si>
  <si>
    <t xml:space="preserve">Identificación y análisis de riesgos (Analiza factores internos y externos; Implica a los niveles apropiados de la dirección; Determina cómo responder a los riesgos; Determina la importancia de los riesgos). </t>
  </si>
  <si>
    <t>7.2</t>
  </si>
  <si>
    <t>7.3</t>
  </si>
  <si>
    <t>7.4</t>
  </si>
  <si>
    <t>7.5</t>
  </si>
  <si>
    <t>8.1</t>
  </si>
  <si>
    <t xml:space="preserve">Evaluación del riesgo de fraude o corrupción. 
Cumplimiento artículo 73 de la Ley 1474 de 2011, relacionado con la prevención de los riesgos de corrupción.
</t>
  </si>
  <si>
    <t>8.2</t>
  </si>
  <si>
    <t>8.3</t>
  </si>
  <si>
    <t>8.4</t>
  </si>
  <si>
    <t>9.1</t>
  </si>
  <si>
    <t xml:space="preserve">Identificación y análisis de cambios significativos </t>
  </si>
  <si>
    <t>9.2</t>
  </si>
  <si>
    <t>9.3</t>
  </si>
  <si>
    <t>9.4</t>
  </si>
  <si>
    <t>9.5</t>
  </si>
  <si>
    <t>10.1</t>
  </si>
  <si>
    <t>Diseño y desarrollo de actividades de control (Integra el desarrollo de controles con la evaluación de riesgos; tiene en cuenta a qué nivel se aplican las actividades; facilita la segregación de funciones).</t>
  </si>
  <si>
    <t>10.2</t>
  </si>
  <si>
    <t>10.3</t>
  </si>
  <si>
    <t>11.1</t>
  </si>
  <si>
    <t>Seleccionar y Desarrolla controles generales sobre TI para apoyar la consecución de los objetivos .</t>
  </si>
  <si>
    <t>11.2</t>
  </si>
  <si>
    <t>11.3</t>
  </si>
  <si>
    <t>11.4</t>
  </si>
  <si>
    <t>12.1</t>
  </si>
  <si>
    <t>Despliegue de políticas y procedimientos (Establece responsabilidades sobre la ejecución de las políticas y procedimientos; Adopta medidas correctivas; Revisa las políticas y procedimientos).</t>
  </si>
  <si>
    <t>12.2</t>
  </si>
  <si>
    <t>12.3</t>
  </si>
  <si>
    <t>12.4</t>
  </si>
  <si>
    <t>12.5</t>
  </si>
  <si>
    <t>13.1</t>
  </si>
  <si>
    <t>Info y Comunicación</t>
  </si>
  <si>
    <t>Utilización de información relevante (Identifica requisitos de información; Capta fuentes de datos internas y externas; Procesa datos relevantes y los transforma en información).</t>
  </si>
  <si>
    <t>13.2</t>
  </si>
  <si>
    <t>13.3</t>
  </si>
  <si>
    <t>13.4</t>
  </si>
  <si>
    <t>14.1</t>
  </si>
  <si>
    <t>Comunicación Interna (Se comunica con el Comité Institucional de Coordinación de Control Interno o su equivalente; Facilita líneas de comunicación en todos los niveles; Selecciona el método de comunicación pertinente).</t>
  </si>
  <si>
    <t>14.2</t>
  </si>
  <si>
    <t>14.3</t>
  </si>
  <si>
    <t>14.4</t>
  </si>
  <si>
    <t>15.1</t>
  </si>
  <si>
    <t>Comunicación con el exterior (Se comunica con los grupos de valor y con terceros externos interesados; Facilita líneas de comunicación).</t>
  </si>
  <si>
    <t>15.2</t>
  </si>
  <si>
    <t>15.3</t>
  </si>
  <si>
    <t>15.4</t>
  </si>
  <si>
    <t>15.5</t>
  </si>
  <si>
    <t>15.6</t>
  </si>
  <si>
    <t>16.1</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</si>
  <si>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</si>
  <si>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</si>
  <si>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16.2</t>
  </si>
  <si>
    <t>16.3</t>
  </si>
  <si>
    <t>16.4</t>
  </si>
  <si>
    <t>16.5</t>
  </si>
  <si>
    <t xml:space="preserve">17.1 </t>
  </si>
  <si>
    <t>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</si>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</sst>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00"/>
    <numFmt numFmtId="166" formatCode="0.0000"/>
    <numFmt numFmtId="167" formatCode="0.00000"/>
    <numFmt numFmtId="168" formatCode="0.000000"/>
  </numFmts>
  <fonts count="58">
    <font>
      <sz val="10"/>
      <color theme="1"/>
      <name val="Arial"/>
      <family val="2"/>
    </font>
    <font>
      <b/>
      <sz val="10"/>
      <color indexed="18"/>
      <name val="Arial"/>
      <family val="2"/>
    </font>
    <font>
      <u/>
      <sz val="10"/>
      <color theme="10"/>
      <name val="Arial"/>
      <family val="2"/>
    </font>
    <font>
      <sz val="10"/>
      <name val="Arial"/>
      <family val="2"/>
    </font>
    <font>
      <sz val="10"/>
      <color theme="1"/>
      <name val="Calibri"/>
      <family val="2"/>
      <scheme val="minor"/>
    </font>
    <font>
      <sz val="12"/>
      <name val="Times New Roman"/>
      <family val="1"/>
    </font>
    <font>
      <sz val="10"/>
      <name val="Arial Narrow"/>
      <family val="2"/>
    </font>
    <font>
      <b/>
      <sz val="14"/>
      <name val="Arial Narrow"/>
      <family val="2"/>
    </font>
    <font>
      <b/>
      <u/>
      <sz val="11"/>
      <name val="Arial Narrow"/>
      <family val="2"/>
    </font>
    <font>
      <b/>
      <sz val="10"/>
      <name val="Arial Narrow"/>
      <family val="2"/>
    </font>
    <font>
      <b/>
      <sz val="11"/>
      <name val="Arial Narrow"/>
      <family val="2"/>
    </font>
    <font>
      <b/>
      <sz val="9"/>
      <name val="Arial Narrow"/>
      <family val="2"/>
    </font>
    <font>
      <b/>
      <i/>
      <u/>
      <sz val="9"/>
      <name val="Arial Narrow"/>
      <family val="2"/>
    </font>
    <font>
      <sz val="9"/>
      <name val="Arial Narrow"/>
      <family val="2"/>
    </font>
    <font>
      <sz val="11"/>
      <name val="Arial Narrow"/>
      <family val="2"/>
    </font>
    <font>
      <sz val="12"/>
      <color theme="1" tint="0.34998626667073579"/>
      <name val="Arial Narrow"/>
      <family val="2"/>
    </font>
    <font>
      <sz val="11"/>
      <color theme="1"/>
      <name val="Arial Narrow"/>
      <family val="2"/>
    </font>
    <font>
      <b/>
      <sz val="11"/>
      <color theme="1"/>
      <name val="Arial Narrow"/>
      <family val="2"/>
    </font>
    <font>
      <u/>
      <sz val="11"/>
      <color theme="10"/>
      <name val="Arial Narrow"/>
      <family val="2"/>
    </font>
    <font>
      <b/>
      <sz val="11"/>
      <color theme="0"/>
      <name val="Arial Narrow"/>
      <family val="2"/>
    </font>
    <font>
      <sz val="11"/>
      <color theme="0"/>
      <name val="Arial Narrow"/>
      <family val="2"/>
    </font>
    <font>
      <b/>
      <u/>
      <sz val="11"/>
      <color theme="0"/>
      <name val="Arial Narrow"/>
      <family val="2"/>
    </font>
    <font>
      <i/>
      <sz val="11"/>
      <color theme="0"/>
      <name val="Arial Narrow"/>
      <family val="2"/>
    </font>
    <font>
      <b/>
      <sz val="11"/>
      <color theme="1" tint="0.249977111117893"/>
      <name val="Arial Narrow"/>
      <family val="2"/>
    </font>
    <font>
      <b/>
      <sz val="10"/>
      <color theme="1"/>
      <name val="Arial Narrow"/>
      <family val="2"/>
    </font>
    <font>
      <sz val="10"/>
      <color theme="1"/>
      <name val="Arial Narrow"/>
      <family val="2"/>
    </font>
    <font>
      <b/>
      <i/>
      <sz val="10"/>
      <color theme="1"/>
      <name val="Arial Narrow"/>
      <family val="2"/>
    </font>
    <font>
      <b/>
      <sz val="12"/>
      <color theme="0"/>
      <name val="Arial Narrow"/>
      <family val="2"/>
    </font>
    <font>
      <b/>
      <sz val="10"/>
      <color theme="0"/>
      <name val="Arial Narrow"/>
      <family val="2"/>
    </font>
    <font>
      <b/>
      <sz val="16"/>
      <color theme="0"/>
      <name val="Arial Narrow"/>
      <family val="2"/>
    </font>
    <font>
      <sz val="10"/>
      <color rgb="FFFF0000"/>
      <name val="Arial"/>
      <family val="2"/>
    </font>
    <font>
      <sz val="10"/>
      <color theme="0"/>
      <name val="Arial Narrow"/>
      <family val="2"/>
    </font>
    <font>
      <sz val="10"/>
      <color rgb="FFFF0000"/>
      <name val="Arial Narrow"/>
      <family val="2"/>
    </font>
    <font>
      <sz val="10"/>
      <color theme="1"/>
      <name val="Arial"/>
      <family val="2"/>
    </font>
    <font>
      <b/>
      <sz val="22"/>
      <color theme="1"/>
      <name val="Arial Narrow"/>
      <family val="2"/>
    </font>
    <font>
      <b/>
      <sz val="12"/>
      <name val="Arial Narrow"/>
      <family val="2"/>
    </font>
    <font>
      <b/>
      <sz val="16"/>
      <name val="Arial Narrow"/>
      <family val="2"/>
    </font>
    <font>
      <sz val="20"/>
      <color theme="1"/>
      <name val="Arial Narrow"/>
      <family val="2"/>
    </font>
    <font>
      <sz val="20"/>
      <color theme="0"/>
      <name val="Arial Narrow"/>
      <family val="2"/>
    </font>
    <font>
      <b/>
      <sz val="20"/>
      <color theme="0"/>
      <name val="Arial Narrow"/>
      <family val="2"/>
    </font>
    <font>
      <b/>
      <sz val="14"/>
      <color theme="0"/>
      <name val="Arial Narrow"/>
      <family val="2"/>
    </font>
    <font>
      <sz val="11"/>
      <color rgb="FFFF0000"/>
      <name val="Arial Narrow"/>
      <family val="2"/>
    </font>
    <font>
      <b/>
      <sz val="11"/>
      <color rgb="FFFF0000"/>
      <name val="Arial Narrow"/>
      <family val="2"/>
    </font>
    <font>
      <sz val="11"/>
      <color theme="4"/>
      <name val="Arial Narrow"/>
      <family val="2"/>
    </font>
    <font>
      <b/>
      <sz val="14"/>
      <color theme="1"/>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s>
  <fills count="2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indexed="51"/>
        <bgColor indexed="64"/>
      </patternFill>
    </fill>
    <fill>
      <patternFill patternType="solid">
        <fgColor rgb="FF83A343"/>
        <bgColor indexed="64"/>
      </patternFill>
    </fill>
    <fill>
      <patternFill patternType="solid">
        <fgColor rgb="FFFFCC00"/>
        <bgColor indexed="64"/>
      </patternFill>
    </fill>
    <fill>
      <patternFill patternType="solid">
        <fgColor theme="7" tint="-0.249977111117893"/>
        <bgColor indexed="64"/>
      </patternFill>
    </fill>
    <fill>
      <patternFill patternType="solid">
        <fgColor rgb="FF2E3917"/>
        <bgColor indexed="64"/>
      </patternFill>
    </fill>
    <fill>
      <patternFill patternType="lightTrellis">
        <fgColor theme="0" tint="-0.14996795556505021"/>
        <bgColor theme="0"/>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6" tint="-0.499984740745262"/>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auto="1"/>
      </top>
      <bottom/>
      <diagonal/>
    </border>
    <border>
      <left style="hair">
        <color auto="1"/>
      </left>
      <right/>
      <top style="hair">
        <color auto="1"/>
      </top>
      <bottom style="hair">
        <color auto="1"/>
      </bottom>
      <diagonal/>
    </border>
    <border>
      <left style="double">
        <color indexed="64"/>
      </left>
      <right/>
      <top style="double">
        <color indexed="64"/>
      </top>
      <bottom/>
      <diagonal/>
    </border>
    <border>
      <left/>
      <right style="thin">
        <color theme="0"/>
      </right>
      <top style="double">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thin">
        <color indexed="64"/>
      </left>
      <right style="thin">
        <color indexed="64"/>
      </right>
      <top style="medium">
        <color indexed="64"/>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0"/>
      </left>
      <right style="thin">
        <color theme="0"/>
      </right>
      <top/>
      <bottom style="thin">
        <color theme="0"/>
      </bottom>
      <diagonal/>
    </border>
    <border>
      <left style="dashed">
        <color indexed="64"/>
      </left>
      <right style="dashed">
        <color indexed="64"/>
      </right>
      <top style="dashed">
        <color indexed="64"/>
      </top>
      <bottom style="dashed">
        <color indexed="64"/>
      </bottom>
      <diagonal/>
    </border>
    <border>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diagonal/>
    </border>
    <border>
      <left style="dotted">
        <color indexed="64"/>
      </left>
      <right/>
      <top style="medium">
        <color indexed="64"/>
      </top>
      <bottom style="dotted">
        <color indexed="64"/>
      </bottom>
      <diagonal/>
    </border>
    <border>
      <left style="dotted">
        <color indexed="64"/>
      </left>
      <right/>
      <top/>
      <bottom style="dotted">
        <color indexed="64"/>
      </bottom>
      <diagonal/>
    </border>
    <border>
      <left style="hair">
        <color indexed="64"/>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s>
  <cellStyleXfs count="7">
    <xf numFmtId="0" fontId="0" fillId="0" borderId="0"/>
    <xf numFmtId="0" fontId="1" fillId="4" borderId="0"/>
    <xf numFmtId="0" fontId="2" fillId="0" borderId="0" applyNumberFormat="0" applyFill="0" applyBorder="0" applyAlignment="0" applyProtection="0">
      <alignment vertical="top"/>
      <protection locked="0"/>
    </xf>
    <xf numFmtId="0" fontId="4" fillId="0" borderId="0"/>
    <xf numFmtId="0" fontId="3" fillId="0" borderId="0"/>
    <xf numFmtId="0" fontId="5" fillId="0" borderId="0"/>
    <xf numFmtId="9" fontId="33" fillId="0" borderId="0" applyFont="0" applyFill="0" applyBorder="0" applyAlignment="0" applyProtection="0"/>
  </cellStyleXfs>
  <cellXfs count="650">
    <xf numFmtId="0" fontId="0" fillId="0" borderId="0" xfId="0"/>
    <xf numFmtId="0" fontId="6" fillId="0" borderId="0" xfId="4" applyFont="1"/>
    <xf numFmtId="0" fontId="6" fillId="0" borderId="32" xfId="4" applyFont="1" applyBorder="1"/>
    <xf numFmtId="0" fontId="9" fillId="0" borderId="0" xfId="4" applyFont="1" applyAlignment="1">
      <alignment horizontal="left" vertical="center" wrapText="1"/>
    </xf>
    <xf numFmtId="0" fontId="6" fillId="0" borderId="0" xfId="4" applyFont="1" applyAlignment="1">
      <alignment horizontal="left" vertical="center" wrapText="1"/>
    </xf>
    <xf numFmtId="0" fontId="6" fillId="0" borderId="0" xfId="4" quotePrefix="1"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top" wrapText="1"/>
    </xf>
    <xf numFmtId="0" fontId="11" fillId="0" borderId="0" xfId="5" applyFont="1" applyAlignment="1">
      <alignment horizontal="left" vertical="top" wrapText="1" readingOrder="1"/>
    </xf>
    <xf numFmtId="0" fontId="16" fillId="2" borderId="0" xfId="0" applyFont="1" applyFill="1"/>
    <xf numFmtId="1" fontId="16" fillId="2" borderId="0" xfId="0" applyNumberFormat="1" applyFont="1" applyFill="1" applyAlignment="1">
      <alignment horizontal="center" vertical="center"/>
    </xf>
    <xf numFmtId="0" fontId="16" fillId="2" borderId="0" xfId="0" applyFont="1" applyFill="1" applyAlignment="1">
      <alignment horizontal="justify" vertical="center" wrapText="1"/>
    </xf>
    <xf numFmtId="0" fontId="11" fillId="2" borderId="12" xfId="0" applyFont="1" applyFill="1" applyBorder="1" applyAlignment="1">
      <alignment vertical="center"/>
    </xf>
    <xf numFmtId="0" fontId="18" fillId="2" borderId="0" xfId="2" applyFont="1" applyFill="1" applyAlignment="1" applyProtection="1">
      <alignment horizontal="center" vertical="center"/>
    </xf>
    <xf numFmtId="0" fontId="19" fillId="2" borderId="0" xfId="0" applyFont="1" applyFill="1" applyAlignment="1">
      <alignment horizontal="center" vertical="center"/>
    </xf>
    <xf numFmtId="0" fontId="19" fillId="0" borderId="0" xfId="0" applyFont="1" applyAlignment="1" applyProtection="1">
      <alignment vertical="center" wrapText="1"/>
      <protection locked="0"/>
    </xf>
    <xf numFmtId="0" fontId="16" fillId="0" borderId="0" xfId="0" applyFont="1"/>
    <xf numFmtId="0" fontId="16" fillId="0" borderId="10" xfId="0" applyFont="1" applyBorder="1" applyAlignment="1">
      <alignment horizontal="left" vertical="center" wrapText="1"/>
    </xf>
    <xf numFmtId="0" fontId="16" fillId="0" borderId="29" xfId="0" applyFont="1" applyBorder="1" applyAlignment="1">
      <alignment horizontal="left" vertical="center" wrapText="1"/>
    </xf>
    <xf numFmtId="0" fontId="16" fillId="0" borderId="13" xfId="0" applyFont="1" applyBorder="1" applyAlignment="1">
      <alignment horizontal="left" vertical="center" wrapText="1"/>
    </xf>
    <xf numFmtId="0" fontId="16" fillId="0" borderId="0" xfId="0" applyFont="1" applyAlignment="1">
      <alignment vertical="center"/>
    </xf>
    <xf numFmtId="0" fontId="23" fillId="11" borderId="30" xfId="0" applyFont="1" applyFill="1" applyBorder="1" applyAlignment="1">
      <alignment horizontal="center" vertical="center" wrapText="1"/>
    </xf>
    <xf numFmtId="0" fontId="23" fillId="11" borderId="31" xfId="0" applyFont="1" applyFill="1" applyBorder="1" applyAlignment="1">
      <alignment horizontal="center" vertical="center" wrapText="1"/>
    </xf>
    <xf numFmtId="0" fontId="13" fillId="2" borderId="12" xfId="0" applyFont="1" applyFill="1" applyBorder="1" applyAlignment="1">
      <alignment vertical="center" wrapText="1"/>
    </xf>
    <xf numFmtId="1" fontId="25" fillId="2" borderId="0" xfId="3" applyNumberFormat="1" applyFont="1" applyFill="1" applyAlignment="1" applyProtection="1">
      <alignment vertical="center"/>
      <protection locked="0"/>
    </xf>
    <xf numFmtId="49" fontId="25" fillId="2" borderId="0" xfId="3" applyNumberFormat="1" applyFont="1" applyFill="1" applyAlignment="1" applyProtection="1">
      <alignment vertical="center"/>
      <protection locked="0"/>
    </xf>
    <xf numFmtId="0" fontId="25" fillId="2" borderId="0" xfId="3" applyFont="1" applyFill="1" applyAlignment="1" applyProtection="1">
      <alignment vertical="center"/>
      <protection locked="0"/>
    </xf>
    <xf numFmtId="0" fontId="27" fillId="2" borderId="0" xfId="0" applyFont="1" applyFill="1" applyAlignment="1" applyProtection="1">
      <alignment vertical="center" wrapText="1"/>
      <protection locked="0"/>
    </xf>
    <xf numFmtId="0" fontId="25" fillId="2" borderId="0" xfId="0" applyFont="1" applyFill="1"/>
    <xf numFmtId="0" fontId="20" fillId="2" borderId="0" xfId="0" applyFont="1" applyFill="1"/>
    <xf numFmtId="0" fontId="26" fillId="2" borderId="66" xfId="3" applyFont="1" applyFill="1" applyBorder="1" applyAlignment="1">
      <alignment horizontal="center" vertical="center" wrapText="1"/>
    </xf>
    <xf numFmtId="0" fontId="26" fillId="2" borderId="68" xfId="3" applyFont="1" applyFill="1" applyBorder="1" applyAlignment="1">
      <alignment horizontal="center" vertical="center" wrapText="1"/>
    </xf>
    <xf numFmtId="0" fontId="25" fillId="2" borderId="1" xfId="3" applyFont="1" applyFill="1" applyBorder="1" applyAlignment="1" applyProtection="1">
      <alignment vertical="center"/>
      <protection locked="0"/>
    </xf>
    <xf numFmtId="0" fontId="16" fillId="2" borderId="0" xfId="0" applyFont="1" applyFill="1" applyAlignment="1">
      <alignment vertical="center"/>
    </xf>
    <xf numFmtId="0" fontId="6" fillId="0" borderId="0" xfId="4" applyFont="1" applyAlignment="1">
      <alignment vertical="top" wrapText="1"/>
    </xf>
    <xf numFmtId="0" fontId="6" fillId="0" borderId="102" xfId="4" applyFont="1" applyBorder="1"/>
    <xf numFmtId="0" fontId="6" fillId="0" borderId="103" xfId="4" applyFont="1" applyBorder="1"/>
    <xf numFmtId="0" fontId="6" fillId="0" borderId="104" xfId="4" applyFont="1" applyBorder="1"/>
    <xf numFmtId="0" fontId="6" fillId="0" borderId="105" xfId="4" applyFont="1" applyBorder="1"/>
    <xf numFmtId="0" fontId="6" fillId="0" borderId="102" xfId="4" applyFont="1" applyBorder="1" applyAlignment="1">
      <alignment vertical="top" wrapText="1"/>
    </xf>
    <xf numFmtId="0" fontId="6" fillId="0" borderId="103" xfId="4" applyFont="1" applyBorder="1" applyAlignment="1">
      <alignment vertical="top" wrapText="1"/>
    </xf>
    <xf numFmtId="0" fontId="6" fillId="0" borderId="106" xfId="4" applyFont="1" applyBorder="1"/>
    <xf numFmtId="0" fontId="6" fillId="0" borderId="107" xfId="4" applyFont="1" applyBorder="1"/>
    <xf numFmtId="0" fontId="6" fillId="0" borderId="108" xfId="4" applyFont="1" applyBorder="1"/>
    <xf numFmtId="0" fontId="25" fillId="2" borderId="4" xfId="3" applyFont="1" applyFill="1" applyBorder="1" applyAlignment="1" applyProtection="1">
      <alignment vertical="center"/>
      <protection locked="0"/>
    </xf>
    <xf numFmtId="0" fontId="19" fillId="3" borderId="0" xfId="0" applyFont="1" applyFill="1" applyAlignment="1">
      <alignment horizontal="center" vertical="center" wrapText="1"/>
    </xf>
    <xf numFmtId="0" fontId="25" fillId="0" borderId="1" xfId="3" applyFont="1" applyBorder="1" applyAlignment="1" applyProtection="1">
      <alignment vertical="center"/>
      <protection locked="0"/>
    </xf>
    <xf numFmtId="0" fontId="31" fillId="0" borderId="0" xfId="3" applyFont="1" applyAlignment="1" applyProtection="1">
      <alignment vertical="center"/>
      <protection locked="0"/>
    </xf>
    <xf numFmtId="0" fontId="27" fillId="0" borderId="0" xfId="0" applyFont="1" applyAlignment="1" applyProtection="1">
      <alignment vertical="center" wrapText="1"/>
      <protection locked="0"/>
    </xf>
    <xf numFmtId="0" fontId="31" fillId="0" borderId="0" xfId="0" applyFont="1"/>
    <xf numFmtId="0" fontId="25" fillId="0" borderId="3" xfId="3" applyFont="1" applyBorder="1" applyAlignment="1" applyProtection="1">
      <alignment vertical="center"/>
      <protection locked="0"/>
    </xf>
    <xf numFmtId="2" fontId="20" fillId="2" borderId="0" xfId="0" applyNumberFormat="1" applyFont="1" applyFill="1"/>
    <xf numFmtId="0" fontId="20" fillId="0" borderId="0" xfId="0" applyFont="1"/>
    <xf numFmtId="2" fontId="20" fillId="0" borderId="0" xfId="0" applyNumberFormat="1" applyFont="1"/>
    <xf numFmtId="167" fontId="20" fillId="0" borderId="0" xfId="0" applyNumberFormat="1" applyFont="1"/>
    <xf numFmtId="0" fontId="14" fillId="0" borderId="13" xfId="0" applyFont="1" applyBorder="1" applyAlignment="1">
      <alignment horizontal="left" vertical="center" wrapText="1"/>
    </xf>
    <xf numFmtId="0" fontId="17" fillId="0" borderId="8"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35" fillId="15" borderId="1" xfId="3" applyFont="1" applyFill="1" applyBorder="1" applyAlignment="1" applyProtection="1">
      <alignment horizontal="center" vertical="center" wrapText="1"/>
      <protection locked="0"/>
    </xf>
    <xf numFmtId="0" fontId="35" fillId="14" borderId="1" xfId="3" applyFont="1" applyFill="1" applyBorder="1" applyAlignment="1" applyProtection="1">
      <alignment horizontal="center" vertical="center" wrapText="1"/>
      <protection locked="0"/>
    </xf>
    <xf numFmtId="0" fontId="35" fillId="13" borderId="1" xfId="3" applyFont="1" applyFill="1" applyBorder="1" applyAlignment="1" applyProtection="1">
      <alignment horizontal="center" vertical="center" wrapText="1"/>
      <protection locked="0"/>
    </xf>
    <xf numFmtId="0" fontId="35" fillId="12" borderId="1" xfId="3" applyFont="1" applyFill="1" applyBorder="1" applyAlignment="1" applyProtection="1">
      <alignment horizontal="center" vertical="center" wrapText="1"/>
      <protection locked="0"/>
    </xf>
    <xf numFmtId="0" fontId="14" fillId="2" borderId="0" xfId="0" applyFont="1" applyFill="1"/>
    <xf numFmtId="1" fontId="37" fillId="2" borderId="0" xfId="3" applyNumberFormat="1" applyFont="1" applyFill="1" applyAlignment="1" applyProtection="1">
      <alignment vertical="center"/>
      <protection locked="0"/>
    </xf>
    <xf numFmtId="49" fontId="37" fillId="2" borderId="0" xfId="3" applyNumberFormat="1" applyFont="1" applyFill="1" applyAlignment="1" applyProtection="1">
      <alignment vertical="center"/>
      <protection locked="0"/>
    </xf>
    <xf numFmtId="0" fontId="37" fillId="2" borderId="0" xfId="3" applyFont="1" applyFill="1" applyAlignment="1" applyProtection="1">
      <alignment vertical="center"/>
      <protection locked="0"/>
    </xf>
    <xf numFmtId="0" fontId="38" fillId="0" borderId="0" xfId="3" applyFont="1" applyAlignment="1" applyProtection="1">
      <alignment vertical="center"/>
      <protection locked="0"/>
    </xf>
    <xf numFmtId="0" fontId="25" fillId="2" borderId="124" xfId="3" applyFont="1" applyFill="1" applyBorder="1" applyAlignment="1" applyProtection="1">
      <alignment vertical="center"/>
      <protection locked="0"/>
    </xf>
    <xf numFmtId="0" fontId="25" fillId="2" borderId="3" xfId="3" applyFont="1" applyFill="1" applyBorder="1" applyAlignment="1" applyProtection="1">
      <alignment vertical="center"/>
      <protection locked="0"/>
    </xf>
    <xf numFmtId="0" fontId="10" fillId="17" borderId="1" xfId="0" applyFont="1" applyFill="1" applyBorder="1" applyAlignment="1">
      <alignment horizontal="center" vertical="center"/>
    </xf>
    <xf numFmtId="0" fontId="14" fillId="17" borderId="1" xfId="0" applyFont="1" applyFill="1" applyBorder="1" applyAlignment="1">
      <alignment horizontal="center" vertical="center"/>
    </xf>
    <xf numFmtId="2" fontId="41" fillId="2" borderId="0" xfId="0" applyNumberFormat="1" applyFont="1" applyFill="1"/>
    <xf numFmtId="2" fontId="41" fillId="0" borderId="0" xfId="0" applyNumberFormat="1" applyFont="1"/>
    <xf numFmtId="0" fontId="41" fillId="2" borderId="0" xfId="0" applyFont="1" applyFill="1"/>
    <xf numFmtId="0" fontId="17" fillId="2" borderId="88" xfId="0" applyFont="1" applyFill="1" applyBorder="1" applyAlignment="1" applyProtection="1">
      <alignment horizontal="center" vertical="center"/>
      <protection locked="0"/>
    </xf>
    <xf numFmtId="0" fontId="17" fillId="2" borderId="12" xfId="0" applyFont="1" applyFill="1" applyBorder="1" applyAlignment="1" applyProtection="1">
      <alignment horizontal="center" vertical="center"/>
      <protection locked="0"/>
    </xf>
    <xf numFmtId="0" fontId="16" fillId="2" borderId="87" xfId="0" applyFont="1" applyFill="1" applyBorder="1" applyAlignment="1" applyProtection="1">
      <alignment horizontal="center" vertical="center"/>
      <protection locked="0"/>
    </xf>
    <xf numFmtId="0" fontId="17" fillId="2" borderId="91" xfId="0" applyFont="1" applyFill="1" applyBorder="1" applyAlignment="1" applyProtection="1">
      <alignment horizontal="center" vertical="center"/>
      <protection locked="0"/>
    </xf>
    <xf numFmtId="0" fontId="16" fillId="2" borderId="86" xfId="0" applyFont="1" applyFill="1" applyBorder="1" applyAlignment="1" applyProtection="1">
      <alignment horizontal="center" vertical="center"/>
      <protection locked="0"/>
    </xf>
    <xf numFmtId="0" fontId="17" fillId="2" borderId="19"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9" fontId="17" fillId="0" borderId="3" xfId="6" applyFont="1" applyFill="1" applyBorder="1" applyAlignment="1" applyProtection="1">
      <alignment horizontal="center" vertical="center"/>
      <protection hidden="1"/>
    </xf>
    <xf numFmtId="9" fontId="17" fillId="0" borderId="1" xfId="6" applyFont="1" applyFill="1" applyBorder="1" applyAlignment="1" applyProtection="1">
      <alignment horizontal="center" vertical="center"/>
      <protection hidden="1"/>
    </xf>
    <xf numFmtId="0" fontId="26" fillId="2" borderId="113" xfId="3" applyFont="1" applyFill="1" applyBorder="1" applyAlignment="1" applyProtection="1">
      <alignment horizontal="center" vertical="center" wrapText="1"/>
      <protection hidden="1"/>
    </xf>
    <xf numFmtId="0" fontId="16" fillId="2" borderId="63" xfId="3" applyFont="1" applyFill="1" applyBorder="1" applyAlignment="1" applyProtection="1">
      <alignment horizontal="center" vertical="center" wrapText="1"/>
      <protection hidden="1"/>
    </xf>
    <xf numFmtId="0" fontId="26" fillId="2" borderId="64" xfId="3" applyFont="1" applyFill="1" applyBorder="1" applyAlignment="1" applyProtection="1">
      <alignment horizontal="center" vertical="center" wrapText="1"/>
      <protection hidden="1"/>
    </xf>
    <xf numFmtId="0" fontId="26" fillId="2" borderId="64" xfId="3" applyFont="1" applyFill="1" applyBorder="1" applyAlignment="1" applyProtection="1">
      <alignment horizontal="left" vertical="top" wrapText="1"/>
      <protection hidden="1"/>
    </xf>
    <xf numFmtId="1" fontId="26" fillId="2" borderId="64" xfId="3" applyNumberFormat="1" applyFont="1" applyFill="1" applyBorder="1" applyAlignment="1" applyProtection="1">
      <alignment horizontal="center" vertical="center" wrapText="1"/>
      <protection hidden="1"/>
    </xf>
    <xf numFmtId="0" fontId="26" fillId="2" borderId="83" xfId="3" applyFont="1" applyFill="1" applyBorder="1" applyAlignment="1" applyProtection="1">
      <alignment horizontal="center" vertical="center" wrapText="1"/>
      <protection hidden="1"/>
    </xf>
    <xf numFmtId="1" fontId="16" fillId="2" borderId="65" xfId="3" applyNumberFormat="1" applyFont="1" applyFill="1" applyBorder="1" applyAlignment="1" applyProtection="1">
      <alignment horizontal="center" vertical="center" wrapText="1"/>
      <protection hidden="1"/>
    </xf>
    <xf numFmtId="0" fontId="26" fillId="2" borderId="66" xfId="3" applyFont="1" applyFill="1" applyBorder="1" applyAlignment="1" applyProtection="1">
      <alignment horizontal="center" vertical="center" wrapText="1"/>
      <protection hidden="1"/>
    </xf>
    <xf numFmtId="0" fontId="26" fillId="2" borderId="66" xfId="3" applyFont="1" applyFill="1" applyBorder="1" applyAlignment="1" applyProtection="1">
      <alignment horizontal="left" vertical="top" wrapText="1"/>
      <protection hidden="1"/>
    </xf>
    <xf numFmtId="0" fontId="26" fillId="2" borderId="84" xfId="3" applyFont="1" applyFill="1" applyBorder="1" applyAlignment="1" applyProtection="1">
      <alignment horizontal="center" vertical="center" wrapText="1"/>
      <protection hidden="1"/>
    </xf>
    <xf numFmtId="0" fontId="16" fillId="2" borderId="65" xfId="3" applyFont="1" applyFill="1" applyBorder="1" applyAlignment="1" applyProtection="1">
      <alignment horizontal="center" vertical="center" wrapText="1"/>
      <protection hidden="1"/>
    </xf>
    <xf numFmtId="1" fontId="16" fillId="2" borderId="67" xfId="3" applyNumberFormat="1" applyFont="1" applyFill="1" applyBorder="1" applyAlignment="1" applyProtection="1">
      <alignment horizontal="center" vertical="center" wrapText="1"/>
      <protection hidden="1"/>
    </xf>
    <xf numFmtId="0" fontId="26" fillId="2" borderId="68" xfId="3" applyFont="1" applyFill="1" applyBorder="1" applyAlignment="1" applyProtection="1">
      <alignment horizontal="center" vertical="center" wrapText="1"/>
      <protection hidden="1"/>
    </xf>
    <xf numFmtId="0" fontId="26" fillId="2" borderId="68" xfId="3" applyFont="1" applyFill="1" applyBorder="1" applyAlignment="1" applyProtection="1">
      <alignment horizontal="left" vertical="top" wrapText="1"/>
      <protection hidden="1"/>
    </xf>
    <xf numFmtId="0" fontId="26" fillId="2" borderId="114" xfId="3" applyFont="1" applyFill="1" applyBorder="1" applyAlignment="1" applyProtection="1">
      <alignment horizontal="center" vertical="center" wrapText="1"/>
      <protection hidden="1"/>
    </xf>
    <xf numFmtId="0" fontId="28" fillId="3" borderId="19" xfId="3" applyFont="1" applyFill="1" applyBorder="1" applyAlignment="1">
      <alignment horizontal="center" vertical="center"/>
    </xf>
    <xf numFmtId="0" fontId="28" fillId="3" borderId="12" xfId="3" applyFont="1" applyFill="1" applyBorder="1" applyAlignment="1">
      <alignment horizontal="center" vertical="center" wrapText="1"/>
    </xf>
    <xf numFmtId="0" fontId="29" fillId="16" borderId="51" xfId="3" applyFont="1" applyFill="1" applyBorder="1" applyAlignment="1">
      <alignment horizontal="center" vertical="center"/>
    </xf>
    <xf numFmtId="0" fontId="29" fillId="16" borderId="123" xfId="3" applyFont="1" applyFill="1" applyBorder="1" applyAlignment="1">
      <alignment horizontal="center" vertical="center"/>
    </xf>
    <xf numFmtId="0" fontId="25" fillId="2" borderId="0" xfId="3" applyFont="1" applyFill="1" applyAlignment="1" applyProtection="1">
      <alignment vertical="center"/>
      <protection hidden="1"/>
    </xf>
    <xf numFmtId="9" fontId="6" fillId="2" borderId="0" xfId="3" applyNumberFormat="1" applyFont="1" applyFill="1" applyAlignment="1" applyProtection="1">
      <alignment vertical="center"/>
      <protection hidden="1"/>
    </xf>
    <xf numFmtId="9" fontId="31" fillId="2" borderId="0" xfId="6" applyFont="1" applyFill="1" applyAlignment="1" applyProtection="1">
      <alignment vertical="center"/>
      <protection hidden="1"/>
    </xf>
    <xf numFmtId="9" fontId="31" fillId="2" borderId="0" xfId="3" applyNumberFormat="1" applyFont="1" applyFill="1" applyAlignment="1" applyProtection="1">
      <alignment vertical="center"/>
      <protection hidden="1"/>
    </xf>
    <xf numFmtId="0" fontId="6" fillId="2" borderId="0" xfId="3" applyFont="1" applyFill="1" applyAlignment="1" applyProtection="1">
      <alignment vertical="center"/>
      <protection hidden="1"/>
    </xf>
    <xf numFmtId="0" fontId="10" fillId="0" borderId="0" xfId="3" applyFont="1" applyAlignment="1" applyProtection="1">
      <alignment vertical="center"/>
      <protection hidden="1"/>
    </xf>
    <xf numFmtId="0" fontId="14" fillId="0" borderId="0" xfId="3" applyFont="1" applyAlignment="1" applyProtection="1">
      <alignment vertical="center" wrapText="1"/>
      <protection hidden="1"/>
    </xf>
    <xf numFmtId="0" fontId="0" fillId="0" borderId="0" xfId="0" applyProtection="1">
      <protection hidden="1"/>
    </xf>
    <xf numFmtId="0" fontId="10" fillId="0" borderId="0" xfId="3" applyFont="1" applyAlignment="1" applyProtection="1">
      <alignment vertical="center" wrapText="1"/>
      <protection hidden="1"/>
    </xf>
    <xf numFmtId="0" fontId="30" fillId="0" borderId="0" xfId="0" applyFont="1" applyProtection="1">
      <protection hidden="1"/>
    </xf>
    <xf numFmtId="0" fontId="10" fillId="10" borderId="1" xfId="3" applyFont="1" applyFill="1" applyBorder="1" applyAlignment="1" applyProtection="1">
      <alignment horizontal="center" vertical="center" wrapText="1"/>
      <protection locked="0"/>
    </xf>
    <xf numFmtId="0" fontId="6" fillId="0" borderId="102" xfId="4" applyFont="1" applyBorder="1" applyAlignment="1">
      <alignment horizontal="left" vertical="top"/>
    </xf>
    <xf numFmtId="0" fontId="6" fillId="0" borderId="103" xfId="4" applyFont="1" applyBorder="1" applyAlignment="1">
      <alignment horizontal="left" vertical="top"/>
    </xf>
    <xf numFmtId="0" fontId="16" fillId="2" borderId="12"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0" fillId="17" borderId="1"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6" fillId="2" borderId="17" xfId="0" applyFont="1" applyFill="1" applyBorder="1" applyAlignment="1" applyProtection="1">
      <alignment horizontal="left" vertical="center" wrapText="1"/>
      <protection locked="0"/>
    </xf>
    <xf numFmtId="0" fontId="16" fillId="2" borderId="12" xfId="0" applyFont="1" applyFill="1" applyBorder="1" applyAlignment="1" applyProtection="1">
      <alignment horizontal="left" vertical="center" wrapText="1"/>
      <protection locked="0"/>
    </xf>
    <xf numFmtId="0" fontId="16" fillId="2" borderId="12" xfId="0" applyFont="1" applyFill="1" applyBorder="1" applyAlignment="1" applyProtection="1">
      <alignment horizontal="left" vertical="top" wrapText="1"/>
      <protection locked="0"/>
    </xf>
    <xf numFmtId="0" fontId="16" fillId="2" borderId="88" xfId="0" applyFont="1" applyFill="1" applyBorder="1" applyAlignment="1" applyProtection="1">
      <alignment horizontal="left" vertical="center" wrapText="1"/>
      <protection locked="0"/>
    </xf>
    <xf numFmtId="0" fontId="16" fillId="2" borderId="115" xfId="0" applyFont="1" applyFill="1" applyBorder="1" applyAlignment="1" applyProtection="1">
      <alignment horizontal="left" vertical="center" wrapText="1"/>
      <protection locked="0"/>
    </xf>
    <xf numFmtId="0" fontId="16" fillId="2" borderId="87" xfId="0" applyFont="1" applyFill="1" applyBorder="1" applyAlignment="1" applyProtection="1">
      <alignment horizontal="left" vertical="center" wrapText="1"/>
      <protection locked="0"/>
    </xf>
    <xf numFmtId="0" fontId="41" fillId="2" borderId="87" xfId="0" applyFont="1" applyFill="1" applyBorder="1" applyAlignment="1" applyProtection="1">
      <alignment horizontal="center" vertical="center" wrapText="1"/>
      <protection locked="0"/>
    </xf>
    <xf numFmtId="0" fontId="41" fillId="2" borderId="12" xfId="0" applyFont="1" applyFill="1" applyBorder="1" applyAlignment="1" applyProtection="1">
      <alignment horizontal="center" vertical="center" wrapText="1"/>
      <protection locked="0"/>
    </xf>
    <xf numFmtId="0" fontId="16" fillId="2" borderId="0" xfId="0" applyFont="1" applyFill="1" applyProtection="1">
      <protection locked="0"/>
    </xf>
    <xf numFmtId="0" fontId="41" fillId="2" borderId="12" xfId="0" applyFont="1" applyFill="1" applyBorder="1" applyAlignment="1" applyProtection="1">
      <alignment horizontal="center" vertical="center"/>
      <protection locked="0"/>
    </xf>
    <xf numFmtId="0" fontId="16" fillId="2" borderId="19" xfId="0" applyFont="1" applyFill="1" applyBorder="1" applyAlignment="1" applyProtection="1">
      <alignment horizontal="left" vertical="center" wrapText="1"/>
      <protection locked="0"/>
    </xf>
    <xf numFmtId="0" fontId="14" fillId="2" borderId="12"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left" vertical="center" wrapText="1"/>
      <protection locked="0"/>
    </xf>
    <xf numFmtId="0" fontId="42" fillId="2" borderId="19" xfId="0" applyFont="1" applyFill="1" applyBorder="1" applyAlignment="1" applyProtection="1">
      <alignment horizontal="center" vertical="center"/>
      <protection locked="0"/>
    </xf>
    <xf numFmtId="0" fontId="42" fillId="2" borderId="12" xfId="0" applyFont="1" applyFill="1" applyBorder="1" applyAlignment="1" applyProtection="1">
      <alignment horizontal="center" vertical="center"/>
      <protection locked="0"/>
    </xf>
    <xf numFmtId="0" fontId="43" fillId="2" borderId="19"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top" wrapText="1"/>
      <protection locked="0"/>
    </xf>
    <xf numFmtId="0" fontId="16" fillId="2" borderId="0" xfId="0" applyFont="1" applyFill="1" applyAlignment="1">
      <alignment horizontal="center"/>
    </xf>
    <xf numFmtId="164" fontId="16" fillId="2" borderId="0" xfId="0" applyNumberFormat="1" applyFont="1" applyFill="1" applyAlignment="1">
      <alignment horizontal="center"/>
    </xf>
    <xf numFmtId="0" fontId="0" fillId="2" borderId="0" xfId="0" applyFill="1"/>
    <xf numFmtId="0" fontId="0" fillId="2" borderId="142" xfId="0" applyFill="1" applyBorder="1"/>
    <xf numFmtId="0" fontId="0" fillId="2" borderId="143" xfId="0" applyFill="1" applyBorder="1"/>
    <xf numFmtId="0" fontId="0" fillId="2" borderId="144" xfId="0" applyFill="1" applyBorder="1"/>
    <xf numFmtId="0" fontId="39" fillId="3" borderId="1" xfId="0" applyFont="1" applyFill="1" applyBorder="1" applyAlignment="1">
      <alignment horizontal="center" vertical="center"/>
    </xf>
    <xf numFmtId="0" fontId="20" fillId="2" borderId="0" xfId="0" applyFont="1" applyFill="1" applyAlignment="1">
      <alignment vertical="center"/>
    </xf>
    <xf numFmtId="9" fontId="46" fillId="3" borderId="145" xfId="0" applyNumberFormat="1" applyFont="1" applyFill="1" applyBorder="1" applyAlignment="1" applyProtection="1">
      <alignment horizontal="center" vertical="center"/>
      <protection hidden="1"/>
    </xf>
    <xf numFmtId="0" fontId="47" fillId="2" borderId="0" xfId="0" applyFont="1" applyFill="1" applyAlignment="1">
      <alignment horizontal="center" vertical="center"/>
    </xf>
    <xf numFmtId="0" fontId="48" fillId="2" borderId="0" xfId="0" applyFont="1" applyFill="1"/>
    <xf numFmtId="0" fontId="45" fillId="2" borderId="0" xfId="0" applyFont="1" applyFill="1" applyAlignment="1">
      <alignment horizontal="center" vertical="center"/>
    </xf>
    <xf numFmtId="0" fontId="49" fillId="2" borderId="32" xfId="0" applyFont="1" applyFill="1" applyBorder="1" applyAlignment="1">
      <alignment horizontal="center" vertical="center"/>
    </xf>
    <xf numFmtId="0" fontId="49" fillId="2" borderId="0" xfId="0" applyFont="1" applyFill="1" applyAlignment="1">
      <alignment horizontal="center" vertical="center"/>
    </xf>
    <xf numFmtId="49" fontId="51" fillId="2" borderId="151" xfId="0" applyNumberFormat="1" applyFont="1" applyFill="1" applyBorder="1" applyAlignment="1" applyProtection="1">
      <alignment horizontal="center" vertical="center" wrapText="1"/>
      <protection locked="0"/>
    </xf>
    <xf numFmtId="49" fontId="0" fillId="2" borderId="0" xfId="0" applyNumberFormat="1" applyFill="1" applyAlignment="1">
      <alignment horizontal="left" vertical="top" wrapText="1"/>
    </xf>
    <xf numFmtId="0" fontId="52" fillId="2" borderId="0" xfId="0" applyFont="1" applyFill="1" applyAlignment="1">
      <alignment wrapText="1"/>
    </xf>
    <xf numFmtId="0" fontId="45" fillId="18" borderId="157" xfId="0" applyFont="1" applyFill="1" applyBorder="1" applyAlignment="1">
      <alignment horizontal="center" vertical="center" wrapText="1"/>
    </xf>
    <xf numFmtId="0" fontId="49" fillId="0" borderId="0" xfId="0" applyFont="1" applyAlignment="1">
      <alignment horizontal="center" vertical="center" wrapText="1"/>
    </xf>
    <xf numFmtId="0" fontId="53" fillId="18" borderId="157" xfId="0" applyFont="1" applyFill="1" applyBorder="1" applyAlignment="1">
      <alignment horizontal="center" vertical="center" wrapText="1"/>
    </xf>
    <xf numFmtId="0" fontId="53" fillId="18" borderId="145" xfId="0" applyFont="1" applyFill="1" applyBorder="1" applyAlignment="1">
      <alignment horizontal="center" vertical="center" wrapText="1"/>
    </xf>
    <xf numFmtId="0" fontId="48" fillId="2" borderId="0" xfId="0" applyFont="1" applyFill="1" applyAlignment="1">
      <alignment horizontal="center" vertical="center" wrapText="1"/>
    </xf>
    <xf numFmtId="0" fontId="53" fillId="3" borderId="69" xfId="0" applyFont="1" applyFill="1" applyBorder="1" applyAlignment="1">
      <alignment horizontal="center" vertical="center" wrapText="1"/>
    </xf>
    <xf numFmtId="0" fontId="53" fillId="3" borderId="145" xfId="0" applyFont="1" applyFill="1" applyBorder="1" applyAlignment="1">
      <alignment horizontal="center" vertical="center" wrapText="1"/>
    </xf>
    <xf numFmtId="0" fontId="53" fillId="3" borderId="0" xfId="0" applyFont="1" applyFill="1" applyAlignment="1">
      <alignment horizontal="center" vertical="center" wrapText="1"/>
    </xf>
    <xf numFmtId="0" fontId="56" fillId="0" borderId="0" xfId="0" applyFont="1" applyAlignment="1">
      <alignment horizontal="center" wrapText="1"/>
    </xf>
    <xf numFmtId="0" fontId="0" fillId="0" borderId="70" xfId="0" applyBorder="1"/>
    <xf numFmtId="0" fontId="45" fillId="6" borderId="1" xfId="0" applyFont="1" applyFill="1" applyBorder="1" applyAlignment="1">
      <alignment horizontal="center" vertical="center" wrapText="1"/>
    </xf>
    <xf numFmtId="0" fontId="53" fillId="0" borderId="0" xfId="0" applyFont="1" applyAlignment="1">
      <alignment vertical="center"/>
    </xf>
    <xf numFmtId="0" fontId="49" fillId="0" borderId="1" xfId="0" applyFont="1" applyBorder="1" applyAlignment="1" applyProtection="1">
      <alignment horizontal="center" vertical="center"/>
      <protection hidden="1"/>
    </xf>
    <xf numFmtId="9" fontId="49" fillId="0" borderId="0" xfId="0" applyNumberFormat="1" applyFont="1" applyAlignment="1">
      <alignment vertical="center"/>
    </xf>
    <xf numFmtId="9" fontId="57" fillId="15" borderId="1" xfId="0" applyNumberFormat="1" applyFont="1" applyFill="1" applyBorder="1" applyAlignment="1" applyProtection="1">
      <alignment horizontal="center" vertical="center"/>
      <protection hidden="1"/>
    </xf>
    <xf numFmtId="0" fontId="50" fillId="0" borderId="92" xfId="0" applyFont="1" applyBorder="1" applyAlignment="1" applyProtection="1">
      <alignment vertical="center" wrapText="1"/>
      <protection locked="0"/>
    </xf>
    <xf numFmtId="0" fontId="49" fillId="0" borderId="0" xfId="0" applyFont="1" applyAlignment="1">
      <alignment vertical="center"/>
    </xf>
    <xf numFmtId="9" fontId="57" fillId="15" borderId="1" xfId="0" applyNumberFormat="1" applyFont="1" applyFill="1" applyBorder="1" applyAlignment="1" applyProtection="1">
      <alignment horizontal="center" vertical="center"/>
      <protection locked="0"/>
    </xf>
    <xf numFmtId="0" fontId="49" fillId="0" borderId="55" xfId="0" applyFont="1" applyBorder="1" applyAlignment="1">
      <alignment vertical="center"/>
    </xf>
    <xf numFmtId="0" fontId="3" fillId="0" borderId="55" xfId="0" applyFont="1" applyBorder="1" applyAlignment="1" applyProtection="1">
      <alignment horizontal="left" vertical="center" wrapText="1"/>
      <protection locked="0"/>
    </xf>
    <xf numFmtId="0" fontId="49" fillId="0" borderId="0" xfId="0" applyFont="1" applyAlignment="1">
      <alignment horizontal="left" vertical="center"/>
    </xf>
    <xf numFmtId="9" fontId="49" fillId="0" borderId="1" xfId="0" applyNumberFormat="1" applyFont="1" applyBorder="1" applyAlignment="1" applyProtection="1">
      <alignment horizontal="center" vertical="center"/>
      <protection locked="0"/>
    </xf>
    <xf numFmtId="0" fontId="0" fillId="0" borderId="0" xfId="0" applyAlignment="1">
      <alignment horizontal="center"/>
    </xf>
    <xf numFmtId="0" fontId="0" fillId="0" borderId="1" xfId="0" applyBorder="1"/>
    <xf numFmtId="0" fontId="0" fillId="0" borderId="92" xfId="0" applyBorder="1"/>
    <xf numFmtId="0" fontId="0" fillId="0" borderId="0" xfId="0" applyAlignment="1">
      <alignment horizontal="left"/>
    </xf>
    <xf numFmtId="0" fontId="0" fillId="0" borderId="1" xfId="0" applyBorder="1" applyAlignment="1">
      <alignment horizontal="left"/>
    </xf>
    <xf numFmtId="0" fontId="45" fillId="5" borderId="1" xfId="0" applyFont="1" applyFill="1" applyBorder="1" applyAlignment="1">
      <alignment horizontal="center" vertical="center" wrapText="1"/>
    </xf>
    <xf numFmtId="0" fontId="0" fillId="0" borderId="92" xfId="0" applyBorder="1" applyAlignment="1" applyProtection="1">
      <alignment wrapText="1"/>
      <protection locked="0"/>
    </xf>
    <xf numFmtId="0" fontId="0" fillId="0" borderId="55" xfId="0" applyBorder="1"/>
    <xf numFmtId="0" fontId="45" fillId="3" borderId="1" xfId="0" applyFont="1" applyFill="1" applyBorder="1" applyAlignment="1">
      <alignment horizontal="center" vertical="center" wrapText="1"/>
    </xf>
    <xf numFmtId="0" fontId="45" fillId="7" borderId="1" xfId="0" applyFont="1" applyFill="1" applyBorder="1" applyAlignment="1">
      <alignment horizontal="center" vertical="center" wrapText="1"/>
    </xf>
    <xf numFmtId="0" fontId="45" fillId="19" borderId="1" xfId="0" applyFont="1" applyFill="1" applyBorder="1" applyAlignment="1">
      <alignment horizontal="center" vertical="center" wrapText="1"/>
    </xf>
    <xf numFmtId="0" fontId="0" fillId="0" borderId="93" xfId="0" applyBorder="1" applyAlignment="1" applyProtection="1">
      <alignment wrapText="1"/>
      <protection locked="0"/>
    </xf>
    <xf numFmtId="0" fontId="6" fillId="0" borderId="102" xfId="4" quotePrefix="1" applyFont="1" applyBorder="1" applyAlignment="1">
      <alignment horizontal="left" vertical="top" wrapText="1"/>
    </xf>
    <xf numFmtId="0" fontId="6" fillId="0" borderId="0" xfId="4" quotePrefix="1" applyFont="1" applyAlignment="1">
      <alignment horizontal="left" vertical="top" wrapText="1"/>
    </xf>
    <xf numFmtId="0" fontId="6" fillId="0" borderId="103" xfId="4" quotePrefix="1" applyFont="1" applyBorder="1" applyAlignment="1">
      <alignment horizontal="left" vertical="top" wrapText="1"/>
    </xf>
    <xf numFmtId="0" fontId="11" fillId="11" borderId="98" xfId="4" applyFont="1" applyFill="1" applyBorder="1" applyAlignment="1">
      <alignment horizontal="center" vertical="center"/>
    </xf>
    <xf numFmtId="0" fontId="11" fillId="11" borderId="99" xfId="4" applyFont="1" applyFill="1" applyBorder="1" applyAlignment="1">
      <alignment horizontal="center" vertical="center"/>
    </xf>
    <xf numFmtId="0" fontId="13" fillId="0" borderId="96" xfId="4" applyFont="1" applyBorder="1" applyAlignment="1">
      <alignment horizontal="left" vertical="top" wrapText="1"/>
    </xf>
    <xf numFmtId="0" fontId="13" fillId="0" borderId="97" xfId="4" applyFont="1" applyBorder="1" applyAlignment="1">
      <alignment horizontal="left" vertical="top" wrapText="1"/>
    </xf>
    <xf numFmtId="0" fontId="13" fillId="0" borderId="94" xfId="0" applyFont="1" applyBorder="1" applyAlignment="1">
      <alignment horizontal="left" vertical="top" wrapText="1"/>
    </xf>
    <xf numFmtId="0" fontId="13" fillId="0" borderId="95" xfId="0" applyFont="1" applyBorder="1" applyAlignment="1">
      <alignment horizontal="left" vertical="top" wrapText="1"/>
    </xf>
    <xf numFmtId="0" fontId="13" fillId="0" borderId="33" xfId="4" applyFont="1" applyBorder="1" applyAlignment="1">
      <alignment horizontal="left" vertical="top" wrapText="1"/>
    </xf>
    <xf numFmtId="0" fontId="13" fillId="0" borderId="40" xfId="4" applyFont="1" applyBorder="1" applyAlignment="1">
      <alignment horizontal="left" vertical="top" wrapText="1"/>
    </xf>
    <xf numFmtId="0" fontId="11" fillId="2" borderId="37"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36" xfId="5" applyFont="1" applyFill="1" applyBorder="1" applyAlignment="1">
      <alignment horizontal="left" vertical="top" wrapText="1" readingOrder="1"/>
    </xf>
    <xf numFmtId="0" fontId="11" fillId="2" borderId="9" xfId="5" applyFont="1" applyFill="1" applyBorder="1" applyAlignment="1">
      <alignment horizontal="left" vertical="top" wrapText="1" readingOrder="1"/>
    </xf>
    <xf numFmtId="0" fontId="11" fillId="11" borderId="34" xfId="5" applyFont="1" applyFill="1" applyBorder="1" applyAlignment="1">
      <alignment horizontal="center" vertical="center" wrapText="1"/>
    </xf>
    <xf numFmtId="0" fontId="11" fillId="11" borderId="35" xfId="5" applyFont="1" applyFill="1" applyBorder="1" applyAlignment="1">
      <alignment horizontal="center" vertical="center" wrapText="1"/>
    </xf>
    <xf numFmtId="0" fontId="13" fillId="0" borderId="33" xfId="0" applyFont="1" applyBorder="1" applyAlignment="1">
      <alignment horizontal="left" vertical="center" wrapText="1"/>
    </xf>
    <xf numFmtId="0" fontId="13" fillId="0" borderId="40" xfId="0" applyFont="1" applyBorder="1" applyAlignment="1">
      <alignment horizontal="left" vertical="center" wrapText="1"/>
    </xf>
    <xf numFmtId="0" fontId="13" fillId="0" borderId="1" xfId="3" applyFont="1" applyBorder="1" applyAlignment="1" applyProtection="1">
      <alignment horizontal="center" vertical="center" wrapText="1"/>
      <protection locked="0"/>
    </xf>
    <xf numFmtId="0" fontId="6" fillId="0" borderId="102" xfId="4" applyFont="1" applyBorder="1" applyAlignment="1">
      <alignment horizontal="left" vertical="top"/>
    </xf>
    <xf numFmtId="0" fontId="6" fillId="0" borderId="0" xfId="4" applyFont="1" applyAlignment="1">
      <alignment horizontal="left" vertical="top"/>
    </xf>
    <xf numFmtId="0" fontId="6" fillId="0" borderId="103" xfId="4" applyFont="1" applyBorder="1" applyAlignment="1">
      <alignment horizontal="left" vertical="top"/>
    </xf>
    <xf numFmtId="0" fontId="6" fillId="0" borderId="102" xfId="4" applyFont="1" applyBorder="1" applyAlignment="1">
      <alignment horizontal="left" vertical="top" wrapText="1"/>
    </xf>
    <xf numFmtId="0" fontId="6" fillId="0" borderId="0" xfId="4" applyFont="1" applyAlignment="1">
      <alignment horizontal="left" vertical="top" wrapText="1"/>
    </xf>
    <xf numFmtId="0" fontId="6" fillId="0" borderId="103" xfId="4" applyFont="1" applyBorder="1" applyAlignment="1">
      <alignment horizontal="left" vertical="top" wrapText="1"/>
    </xf>
    <xf numFmtId="0" fontId="7" fillId="0" borderId="100" xfId="4" applyFont="1" applyBorder="1" applyAlignment="1">
      <alignment horizontal="center" vertical="center" wrapText="1"/>
    </xf>
    <xf numFmtId="0" fontId="7" fillId="0" borderId="77" xfId="4" applyFont="1" applyBorder="1" applyAlignment="1">
      <alignment horizontal="center" vertical="center" wrapText="1"/>
    </xf>
    <xf numFmtId="0" fontId="7" fillId="0" borderId="101" xfId="4" applyFont="1" applyBorder="1" applyAlignment="1">
      <alignment horizontal="center" vertical="center" wrapText="1"/>
    </xf>
    <xf numFmtId="0" fontId="6" fillId="0" borderId="102" xfId="4" quotePrefix="1" applyFont="1" applyBorder="1" applyAlignment="1">
      <alignment horizontal="left" vertical="center" wrapText="1"/>
    </xf>
    <xf numFmtId="0" fontId="6" fillId="0" borderId="0" xfId="4" quotePrefix="1" applyFont="1" applyAlignment="1">
      <alignment horizontal="left" vertical="center" wrapText="1"/>
    </xf>
    <xf numFmtId="0" fontId="6" fillId="0" borderId="103" xfId="4" quotePrefix="1" applyFont="1" applyBorder="1" applyAlignment="1">
      <alignment horizontal="left" vertical="center" wrapText="1"/>
    </xf>
    <xf numFmtId="0" fontId="8" fillId="0" borderId="102" xfId="4" quotePrefix="1" applyFont="1" applyBorder="1" applyAlignment="1">
      <alignment horizontal="left" vertical="top" wrapText="1"/>
    </xf>
    <xf numFmtId="0" fontId="10" fillId="0" borderId="0" xfId="4" quotePrefix="1" applyFont="1" applyAlignment="1">
      <alignment horizontal="left" vertical="top" wrapText="1"/>
    </xf>
    <xf numFmtId="0" fontId="10" fillId="0" borderId="103" xfId="4" quotePrefix="1" applyFont="1" applyBorder="1" applyAlignment="1">
      <alignment horizontal="left" vertical="top" wrapText="1"/>
    </xf>
    <xf numFmtId="0" fontId="24" fillId="0" borderId="82" xfId="3" applyFont="1" applyBorder="1" applyAlignment="1" applyProtection="1">
      <alignment horizontal="center" vertical="center" wrapText="1"/>
      <protection locked="0"/>
    </xf>
    <xf numFmtId="0" fontId="25" fillId="0" borderId="82" xfId="3" applyFont="1" applyBorder="1" applyAlignment="1" applyProtection="1">
      <alignment horizontal="center" vertical="center" wrapText="1"/>
      <protection locked="0"/>
    </xf>
    <xf numFmtId="0" fontId="11" fillId="2" borderId="44" xfId="4" applyFont="1" applyFill="1" applyBorder="1" applyAlignment="1">
      <alignment horizontal="center" vertical="center" textRotation="90"/>
    </xf>
    <xf numFmtId="0" fontId="11" fillId="2" borderId="45" xfId="4" applyFont="1" applyFill="1" applyBorder="1" applyAlignment="1">
      <alignment horizontal="center" vertical="center" textRotation="90"/>
    </xf>
    <xf numFmtId="0" fontId="11" fillId="2" borderId="38"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0" fillId="10" borderId="1" xfId="3" applyFont="1" applyFill="1" applyBorder="1" applyAlignment="1" applyProtection="1">
      <alignment horizontal="center" vertical="center" wrapText="1"/>
      <protection locked="0"/>
    </xf>
    <xf numFmtId="0" fontId="23" fillId="11" borderId="0" xfId="0" applyFont="1" applyFill="1" applyAlignment="1" applyProtection="1">
      <alignment horizontal="center" vertical="center" wrapText="1"/>
      <protection locked="0"/>
    </xf>
    <xf numFmtId="2" fontId="20" fillId="2" borderId="0" xfId="0" applyNumberFormat="1" applyFont="1" applyFill="1" applyAlignment="1" applyProtection="1">
      <alignment horizontal="center" vertical="center" wrapText="1"/>
      <protection hidden="1"/>
    </xf>
    <xf numFmtId="0" fontId="16" fillId="2" borderId="22" xfId="0" applyFont="1" applyFill="1" applyBorder="1" applyAlignment="1" applyProtection="1">
      <alignment horizontal="left" vertical="center" wrapText="1"/>
      <protection locked="0"/>
    </xf>
    <xf numFmtId="0" fontId="16" fillId="2" borderId="23" xfId="0" applyFont="1" applyFill="1" applyBorder="1" applyAlignment="1" applyProtection="1">
      <alignment horizontal="left" vertical="center"/>
      <protection locked="0"/>
    </xf>
    <xf numFmtId="0" fontId="16" fillId="2" borderId="24" xfId="0" applyFont="1" applyFill="1" applyBorder="1" applyAlignment="1" applyProtection="1">
      <alignment horizontal="left" vertical="center"/>
      <protection locked="0"/>
    </xf>
    <xf numFmtId="0" fontId="16" fillId="2" borderId="23" xfId="0" applyFont="1" applyFill="1" applyBorder="1" applyAlignment="1" applyProtection="1">
      <alignment horizontal="left" vertical="center" wrapText="1"/>
      <protection locked="0"/>
    </xf>
    <xf numFmtId="0" fontId="16" fillId="2" borderId="24" xfId="0" applyFont="1" applyFill="1" applyBorder="1" applyAlignment="1" applyProtection="1">
      <alignment horizontal="left" vertical="center" wrapText="1"/>
      <protection locked="0"/>
    </xf>
    <xf numFmtId="165" fontId="20" fillId="2" borderId="0" xfId="0" applyNumberFormat="1" applyFont="1" applyFill="1" applyAlignment="1" applyProtection="1">
      <alignment horizontal="center" vertical="center" wrapText="1"/>
      <protection hidden="1"/>
    </xf>
    <xf numFmtId="166" fontId="20" fillId="2" borderId="0" xfId="0" applyNumberFormat="1" applyFont="1" applyFill="1" applyAlignment="1" applyProtection="1">
      <alignment horizontal="center" vertical="center" wrapText="1"/>
      <protection hidden="1"/>
    </xf>
    <xf numFmtId="2" fontId="19" fillId="2" borderId="0" xfId="0" applyNumberFormat="1" applyFont="1" applyFill="1" applyAlignment="1" applyProtection="1">
      <alignment horizontal="center" vertical="center" textRotation="90" wrapText="1"/>
      <protection hidden="1"/>
    </xf>
    <xf numFmtId="2" fontId="19" fillId="2" borderId="0" xfId="0" applyNumberFormat="1" applyFont="1" applyFill="1" applyAlignment="1">
      <alignment horizontal="center" vertical="center" textRotation="90" wrapText="1"/>
    </xf>
    <xf numFmtId="2" fontId="41" fillId="2" borderId="0" xfId="0" applyNumberFormat="1" applyFont="1" applyFill="1" applyAlignment="1">
      <alignment horizontal="center" vertical="center" wrapText="1"/>
    </xf>
    <xf numFmtId="2" fontId="42" fillId="2" borderId="0" xfId="0" applyNumberFormat="1" applyFont="1" applyFill="1" applyAlignment="1">
      <alignment horizontal="center" vertical="center" textRotation="90" wrapText="1"/>
    </xf>
    <xf numFmtId="165" fontId="41" fillId="2" borderId="0" xfId="0" applyNumberFormat="1" applyFont="1" applyFill="1" applyAlignment="1">
      <alignment horizontal="center" vertical="center" wrapText="1"/>
    </xf>
    <xf numFmtId="166" fontId="41" fillId="2" borderId="0" xfId="0" applyNumberFormat="1" applyFont="1" applyFill="1" applyAlignment="1">
      <alignment horizontal="center" vertical="center" wrapText="1"/>
    </xf>
    <xf numFmtId="0" fontId="14" fillId="0" borderId="16" xfId="0" applyFont="1" applyBorder="1" applyAlignment="1">
      <alignment horizontal="left" vertical="center"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protection locked="0"/>
    </xf>
    <xf numFmtId="0" fontId="16" fillId="2" borderId="24" xfId="0" applyFont="1" applyFill="1" applyBorder="1" applyAlignment="1" applyProtection="1">
      <alignment horizontal="left" vertical="top"/>
      <protection locked="0"/>
    </xf>
    <xf numFmtId="0" fontId="16" fillId="2" borderId="17"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6" fillId="2" borderId="22"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0" fontId="16" fillId="2" borderId="24" xfId="0" applyFont="1" applyFill="1" applyBorder="1" applyAlignment="1" applyProtection="1">
      <alignment horizontal="center" vertical="center"/>
      <protection locked="0"/>
    </xf>
    <xf numFmtId="0" fontId="16" fillId="2" borderId="89" xfId="0" applyFont="1" applyFill="1" applyBorder="1" applyAlignment="1" applyProtection="1">
      <alignment horizontal="center" vertical="center" wrapText="1"/>
      <protection hidden="1"/>
    </xf>
    <xf numFmtId="0" fontId="16" fillId="2" borderId="85" xfId="0" applyFont="1" applyFill="1" applyBorder="1" applyAlignment="1" applyProtection="1">
      <alignment horizontal="center" vertical="center" wrapText="1"/>
      <protection hidden="1"/>
    </xf>
    <xf numFmtId="0" fontId="16" fillId="2" borderId="90" xfId="0" applyFont="1" applyFill="1" applyBorder="1" applyAlignment="1" applyProtection="1">
      <alignment horizontal="center" vertical="center" wrapText="1"/>
      <protection hidden="1"/>
    </xf>
    <xf numFmtId="0" fontId="43" fillId="2" borderId="22" xfId="0" applyFont="1" applyFill="1" applyBorder="1" applyAlignment="1" applyProtection="1">
      <alignment horizontal="left" vertical="center" wrapText="1"/>
      <protection locked="0"/>
    </xf>
    <xf numFmtId="0" fontId="14" fillId="2" borderId="23" xfId="0" applyFont="1" applyFill="1" applyBorder="1" applyAlignment="1" applyProtection="1">
      <alignment horizontal="left" vertical="center" wrapText="1"/>
      <protection locked="0"/>
    </xf>
    <xf numFmtId="0" fontId="14" fillId="2" borderId="24"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center" vertical="center" wrapText="1"/>
      <protection hidden="1"/>
    </xf>
    <xf numFmtId="0" fontId="16" fillId="2" borderId="25" xfId="0" applyFont="1" applyFill="1" applyBorder="1" applyAlignment="1" applyProtection="1">
      <alignment horizontal="center" vertical="center" wrapText="1"/>
      <protection hidden="1"/>
    </xf>
    <xf numFmtId="0" fontId="16" fillId="2" borderId="26" xfId="0" applyFont="1" applyFill="1" applyBorder="1" applyAlignment="1" applyProtection="1">
      <alignment horizontal="center" vertical="center" wrapText="1"/>
      <protection hidden="1"/>
    </xf>
    <xf numFmtId="0" fontId="16" fillId="0" borderId="16"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43" fillId="2" borderId="17"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protection locked="0"/>
    </xf>
    <xf numFmtId="0" fontId="43" fillId="2" borderId="19" xfId="0" applyFont="1" applyFill="1" applyBorder="1" applyAlignment="1" applyProtection="1">
      <alignment horizontal="left" vertical="center"/>
      <protection locked="0"/>
    </xf>
    <xf numFmtId="0" fontId="16" fillId="2" borderId="56" xfId="0" applyFont="1" applyFill="1" applyBorder="1" applyAlignment="1" applyProtection="1">
      <alignment horizontal="center" vertical="center"/>
      <protection locked="0"/>
    </xf>
    <xf numFmtId="0" fontId="16" fillId="2" borderId="33" xfId="0" applyFont="1" applyFill="1" applyBorder="1" applyAlignment="1" applyProtection="1">
      <alignment horizontal="center" vertical="center"/>
      <protection locked="0"/>
    </xf>
    <xf numFmtId="0" fontId="16" fillId="2" borderId="59" xfId="0" applyFont="1" applyFill="1" applyBorder="1" applyAlignment="1" applyProtection="1">
      <alignment horizontal="center" vertical="center"/>
      <protection locked="0"/>
    </xf>
    <xf numFmtId="0" fontId="20" fillId="6" borderId="6"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19" fillId="6" borderId="2"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9" fillId="6" borderId="1" xfId="0" applyFont="1" applyFill="1" applyBorder="1" applyAlignment="1" applyProtection="1">
      <alignment horizontal="center" vertical="center" textRotation="90" wrapText="1"/>
      <protection locked="0"/>
    </xf>
    <xf numFmtId="0" fontId="19" fillId="6" borderId="2" xfId="0" applyFont="1" applyFill="1" applyBorder="1" applyAlignment="1" applyProtection="1">
      <alignment horizontal="center" vertical="center" textRotation="90" wrapText="1"/>
      <protection locked="0"/>
    </xf>
    <xf numFmtId="0" fontId="19" fillId="6" borderId="1"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hidden="1"/>
    </xf>
    <xf numFmtId="0" fontId="19" fillId="2" borderId="0" xfId="0" applyFont="1" applyFill="1" applyAlignment="1" applyProtection="1">
      <alignment horizontal="center" vertical="center" textRotation="90" wrapText="1"/>
      <protection hidden="1"/>
    </xf>
    <xf numFmtId="0" fontId="19" fillId="2" borderId="0" xfId="0" applyFont="1" applyFill="1" applyAlignment="1">
      <alignment horizontal="center" vertical="center" textRotation="90" wrapText="1"/>
    </xf>
    <xf numFmtId="0" fontId="16" fillId="0" borderId="16"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6" fillId="17" borderId="1" xfId="0" applyFont="1" applyFill="1" applyBorder="1" applyAlignment="1">
      <alignment horizontal="left" vertical="top" wrapText="1"/>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16" fillId="0" borderId="21" xfId="0" applyFont="1" applyBorder="1" applyAlignment="1">
      <alignment horizontal="left" vertical="top" wrapText="1"/>
    </xf>
    <xf numFmtId="0" fontId="19" fillId="6" borderId="1" xfId="0" applyFont="1" applyFill="1" applyBorder="1" applyAlignment="1">
      <alignment horizontal="center" vertical="center" textRotation="90" wrapText="1"/>
    </xf>
    <xf numFmtId="0" fontId="19" fillId="6" borderId="2" xfId="0" applyFont="1" applyFill="1" applyBorder="1" applyAlignment="1">
      <alignment horizontal="center" vertical="center" textRotation="90" wrapText="1"/>
    </xf>
    <xf numFmtId="0" fontId="10" fillId="17" borderId="1" xfId="0" applyFont="1" applyFill="1" applyBorder="1" applyAlignment="1" applyProtection="1">
      <alignment horizontal="center" vertical="center" wrapText="1"/>
      <protection hidden="1"/>
    </xf>
    <xf numFmtId="0" fontId="16" fillId="2" borderId="72"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wrapText="1"/>
      <protection hidden="1"/>
    </xf>
    <xf numFmtId="0" fontId="16" fillId="2" borderId="73" xfId="0" applyFont="1" applyFill="1" applyBorder="1" applyAlignment="1" applyProtection="1">
      <alignment horizontal="center" vertical="center" wrapText="1"/>
      <protection hidden="1"/>
    </xf>
    <xf numFmtId="0" fontId="19" fillId="6" borderId="1" xfId="0" applyFont="1" applyFill="1" applyBorder="1" applyAlignment="1" applyProtection="1">
      <alignment horizontal="center" vertical="center" textRotation="90" wrapText="1"/>
      <protection hidden="1"/>
    </xf>
    <xf numFmtId="0" fontId="19" fillId="6" borderId="2" xfId="0" applyFont="1" applyFill="1" applyBorder="1" applyAlignment="1" applyProtection="1">
      <alignment horizontal="center" vertical="center" textRotation="90" wrapText="1"/>
      <protection hidden="1"/>
    </xf>
    <xf numFmtId="0" fontId="19" fillId="6" borderId="3" xfId="0" applyFont="1" applyFill="1" applyBorder="1" applyAlignment="1" applyProtection="1">
      <alignment horizontal="center" vertical="center" textRotation="90" wrapText="1"/>
      <protection hidden="1"/>
    </xf>
    <xf numFmtId="0" fontId="16" fillId="2" borderId="3" xfId="0" applyFont="1" applyFill="1" applyBorder="1" applyAlignment="1" applyProtection="1">
      <alignment horizontal="center" vertical="center" wrapText="1"/>
      <protection hidden="1"/>
    </xf>
    <xf numFmtId="0" fontId="16" fillId="2" borderId="0" xfId="0" applyFont="1" applyFill="1" applyAlignment="1">
      <alignment horizontal="left" vertical="center" wrapText="1"/>
    </xf>
    <xf numFmtId="0" fontId="16" fillId="2" borderId="0" xfId="0" applyFont="1" applyFill="1" applyAlignment="1">
      <alignment horizontal="center"/>
    </xf>
    <xf numFmtId="164" fontId="16" fillId="2" borderId="0" xfId="0" applyNumberFormat="1" applyFont="1" applyFill="1" applyAlignment="1">
      <alignment horizontal="center"/>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1" xfId="0" applyFont="1" applyFill="1" applyBorder="1" applyAlignment="1">
      <alignment horizontal="center" vertical="center" wrapText="1"/>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55" xfId="0" applyFont="1" applyFill="1" applyBorder="1" applyAlignment="1">
      <alignment horizontal="center" vertical="center"/>
    </xf>
    <xf numFmtId="0" fontId="10" fillId="17" borderId="1" xfId="0" applyFont="1" applyFill="1" applyBorder="1" applyAlignment="1">
      <alignment horizontal="center" vertical="center" wrapText="1"/>
    </xf>
    <xf numFmtId="0" fontId="19" fillId="6" borderId="76" xfId="0" applyFont="1" applyFill="1" applyBorder="1" applyAlignment="1" applyProtection="1">
      <alignment horizontal="center" vertical="center"/>
      <protection locked="0"/>
    </xf>
    <xf numFmtId="0" fontId="19" fillId="6" borderId="77" xfId="0" applyFont="1" applyFill="1" applyBorder="1" applyAlignment="1" applyProtection="1">
      <alignment horizontal="center" vertical="center"/>
      <protection locked="0"/>
    </xf>
    <xf numFmtId="0" fontId="19" fillId="6" borderId="78"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left" vertical="center" wrapText="1"/>
      <protection locked="0"/>
    </xf>
    <xf numFmtId="0" fontId="16" fillId="2" borderId="12" xfId="0" applyFont="1" applyFill="1" applyBorder="1" applyAlignment="1" applyProtection="1">
      <alignment horizontal="left" vertical="center" wrapText="1"/>
      <protection locked="0"/>
    </xf>
    <xf numFmtId="0" fontId="16" fillId="2" borderId="19" xfId="0" applyFont="1" applyFill="1" applyBorder="1" applyAlignment="1" applyProtection="1">
      <alignment horizontal="left" vertical="center" wrapText="1"/>
      <protection locked="0"/>
    </xf>
    <xf numFmtId="0" fontId="16" fillId="2" borderId="16"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9" fillId="6" borderId="46" xfId="0" applyFont="1" applyFill="1" applyBorder="1" applyAlignment="1" applyProtection="1">
      <alignment horizontal="center" vertical="center" wrapText="1"/>
      <protection locked="0"/>
    </xf>
    <xf numFmtId="0" fontId="19" fillId="6" borderId="25" xfId="0" applyFont="1" applyFill="1" applyBorder="1" applyAlignment="1" applyProtection="1">
      <alignment horizontal="center" vertical="center" wrapText="1"/>
      <protection locked="0"/>
    </xf>
    <xf numFmtId="0" fontId="16" fillId="2" borderId="12" xfId="0" applyFont="1" applyFill="1" applyBorder="1" applyAlignment="1" applyProtection="1">
      <alignment horizontal="left" vertical="center"/>
      <protection locked="0"/>
    </xf>
    <xf numFmtId="0" fontId="16" fillId="2" borderId="19" xfId="0" applyFont="1" applyFill="1" applyBorder="1" applyAlignment="1" applyProtection="1">
      <alignment horizontal="left" vertical="center"/>
      <protection locked="0"/>
    </xf>
    <xf numFmtId="0" fontId="19" fillId="6" borderId="1"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left" vertical="top" wrapText="1"/>
      <protection locked="0"/>
    </xf>
    <xf numFmtId="0" fontId="16" fillId="2" borderId="12" xfId="0" applyFont="1" applyFill="1" applyBorder="1" applyAlignment="1" applyProtection="1">
      <alignment horizontal="left" vertical="top"/>
      <protection locked="0"/>
    </xf>
    <xf numFmtId="0" fontId="16" fillId="2" borderId="19" xfId="0" applyFont="1" applyFill="1" applyBorder="1" applyAlignment="1" applyProtection="1">
      <alignment horizontal="left" vertical="top"/>
      <protection locked="0"/>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16" xfId="0" applyFont="1" applyBorder="1" applyAlignment="1">
      <alignment vertical="center"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10" fillId="17" borderId="1" xfId="0" applyFont="1" applyFill="1" applyBorder="1" applyAlignment="1" applyProtection="1">
      <alignment horizontal="center" vertical="center"/>
      <protection locked="0"/>
    </xf>
    <xf numFmtId="0" fontId="16" fillId="2" borderId="12" xfId="0" applyFont="1" applyFill="1" applyBorder="1" applyAlignment="1" applyProtection="1">
      <alignment horizontal="left" vertical="top" wrapText="1"/>
      <protection locked="0"/>
    </xf>
    <xf numFmtId="0" fontId="16" fillId="2" borderId="19" xfId="0" applyFont="1" applyFill="1" applyBorder="1" applyAlignment="1" applyProtection="1">
      <alignment horizontal="left" vertical="top" wrapText="1"/>
      <protection locked="0"/>
    </xf>
    <xf numFmtId="0" fontId="16" fillId="2" borderId="85" xfId="0" applyFont="1" applyFill="1" applyBorder="1" applyAlignment="1" applyProtection="1">
      <alignment horizontal="left" vertical="center" wrapText="1"/>
      <protection locked="0"/>
    </xf>
    <xf numFmtId="0" fontId="16" fillId="2" borderId="90" xfId="0" applyFont="1" applyFill="1" applyBorder="1" applyAlignment="1" applyProtection="1">
      <alignment horizontal="left" vertical="center" wrapText="1"/>
      <protection locked="0"/>
    </xf>
    <xf numFmtId="0" fontId="19" fillId="6" borderId="46" xfId="0" applyFont="1" applyFill="1" applyBorder="1" applyAlignment="1">
      <alignment horizontal="center" vertical="center" wrapText="1"/>
    </xf>
    <xf numFmtId="0" fontId="40" fillId="6" borderId="0" xfId="0" applyFont="1" applyFill="1" applyAlignment="1">
      <alignment horizontal="center" vertical="center"/>
    </xf>
    <xf numFmtId="0" fontId="15" fillId="2" borderId="0" xfId="0" applyFont="1" applyFill="1" applyAlignment="1">
      <alignment horizontal="justify" vertical="top" wrapText="1"/>
    </xf>
    <xf numFmtId="0" fontId="16" fillId="0" borderId="21" xfId="0" applyFont="1" applyBorder="1" applyAlignment="1">
      <alignment horizontal="left" vertical="center" wrapText="1"/>
    </xf>
    <xf numFmtId="0" fontId="16" fillId="2" borderId="85" xfId="0" applyFont="1" applyFill="1" applyBorder="1" applyAlignment="1" applyProtection="1">
      <alignment horizontal="center" vertical="center"/>
      <protection locked="0"/>
    </xf>
    <xf numFmtId="0" fontId="16" fillId="2" borderId="90" xfId="0" applyFont="1" applyFill="1" applyBorder="1" applyAlignment="1" applyProtection="1">
      <alignment horizontal="center" vertical="center"/>
      <protection locked="0"/>
    </xf>
    <xf numFmtId="0" fontId="36" fillId="17" borderId="1" xfId="0" applyFont="1" applyFill="1" applyBorder="1" applyAlignment="1">
      <alignment horizontal="center" vertical="center" textRotation="90" shrinkToFit="1"/>
    </xf>
    <xf numFmtId="0" fontId="16" fillId="2" borderId="29" xfId="0" applyFont="1" applyFill="1" applyBorder="1" applyAlignment="1" applyProtection="1">
      <alignment horizontal="center" vertical="center" wrapText="1"/>
      <protection hidden="1"/>
    </xf>
    <xf numFmtId="0" fontId="16" fillId="2" borderId="60" xfId="0" applyFont="1" applyFill="1" applyBorder="1" applyAlignment="1" applyProtection="1">
      <alignment horizontal="center" vertical="center"/>
      <protection locked="0"/>
    </xf>
    <xf numFmtId="0" fontId="16" fillId="2" borderId="61" xfId="0" applyFont="1" applyFill="1" applyBorder="1" applyAlignment="1" applyProtection="1">
      <alignment horizontal="center" vertical="center"/>
      <protection locked="0"/>
    </xf>
    <xf numFmtId="0" fontId="16" fillId="2" borderId="62" xfId="0" applyFont="1" applyFill="1" applyBorder="1" applyAlignment="1" applyProtection="1">
      <alignment horizontal="center" vertical="center"/>
      <protection locked="0"/>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center" wrapText="1"/>
    </xf>
    <xf numFmtId="0" fontId="41" fillId="2" borderId="22" xfId="0" applyFont="1" applyFill="1" applyBorder="1" applyAlignment="1" applyProtection="1">
      <alignment horizontal="left" vertical="center" wrapText="1"/>
      <protection locked="0"/>
    </xf>
    <xf numFmtId="0" fontId="41" fillId="2" borderId="23" xfId="0" applyFont="1" applyFill="1" applyBorder="1" applyAlignment="1" applyProtection="1">
      <alignment horizontal="left" vertical="center" wrapText="1"/>
      <protection locked="0"/>
    </xf>
    <xf numFmtId="0" fontId="41" fillId="2" borderId="24" xfId="0" applyFont="1" applyFill="1" applyBorder="1" applyAlignment="1" applyProtection="1">
      <alignment horizontal="left" vertical="center" wrapText="1"/>
      <protection locked="0"/>
    </xf>
    <xf numFmtId="0" fontId="14" fillId="2" borderId="22" xfId="0" applyFont="1" applyFill="1" applyBorder="1" applyAlignment="1" applyProtection="1">
      <alignment horizontal="left" vertical="center" wrapText="1"/>
      <protection locked="0"/>
    </xf>
    <xf numFmtId="0" fontId="43" fillId="2" borderId="22" xfId="0" applyFont="1" applyFill="1" applyBorder="1" applyAlignment="1" applyProtection="1">
      <alignment horizontal="center" vertical="center" wrapText="1"/>
      <protection locked="0"/>
    </xf>
    <xf numFmtId="0" fontId="14" fillId="2" borderId="23"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2" fontId="20" fillId="0" borderId="0" xfId="0" applyNumberFormat="1" applyFont="1" applyAlignment="1" applyProtection="1">
      <alignment horizontal="center" vertical="center" wrapText="1"/>
      <protection hidden="1"/>
    </xf>
    <xf numFmtId="2" fontId="19" fillId="0" borderId="0" xfId="0" applyNumberFormat="1" applyFont="1" applyAlignment="1" applyProtection="1">
      <alignment horizontal="center" vertical="center" textRotation="90" wrapText="1"/>
      <protection hidden="1"/>
    </xf>
    <xf numFmtId="2" fontId="19" fillId="0" borderId="0" xfId="0" applyNumberFormat="1" applyFont="1" applyAlignment="1">
      <alignment horizontal="center" vertical="center" textRotation="90" wrapText="1"/>
    </xf>
    <xf numFmtId="0" fontId="16" fillId="9" borderId="69" xfId="0" applyFont="1" applyFill="1" applyBorder="1" applyAlignment="1">
      <alignment horizontal="left" vertical="top" wrapText="1"/>
    </xf>
    <xf numFmtId="0" fontId="16" fillId="9" borderId="70" xfId="0" applyFont="1" applyFill="1" applyBorder="1" applyAlignment="1">
      <alignment horizontal="left" vertical="top" wrapText="1"/>
    </xf>
    <xf numFmtId="0" fontId="16" fillId="9" borderId="71" xfId="0" applyFont="1" applyFill="1" applyBorder="1" applyAlignment="1">
      <alignment horizontal="left" vertical="top" wrapText="1"/>
    </xf>
    <xf numFmtId="0" fontId="21" fillId="5"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5" borderId="2" xfId="0" applyFont="1" applyFill="1" applyBorder="1" applyAlignment="1">
      <alignment horizontal="left" vertical="top" wrapText="1"/>
    </xf>
    <xf numFmtId="0" fontId="16" fillId="9" borderId="16" xfId="0" applyFont="1" applyFill="1" applyBorder="1" applyAlignment="1">
      <alignment horizontal="left" vertical="top" wrapText="1"/>
    </xf>
    <xf numFmtId="0" fontId="16" fillId="9" borderId="14" xfId="0" applyFont="1" applyFill="1" applyBorder="1" applyAlignment="1">
      <alignment horizontal="left" vertical="top" wrapText="1"/>
    </xf>
    <xf numFmtId="0" fontId="16" fillId="9" borderId="15" xfId="0" applyFont="1" applyFill="1" applyBorder="1" applyAlignment="1">
      <alignment horizontal="left" vertical="top" wrapText="1"/>
    </xf>
    <xf numFmtId="0" fontId="19" fillId="5" borderId="1" xfId="0" applyFont="1" applyFill="1" applyBorder="1" applyAlignment="1">
      <alignment horizontal="left" vertical="top" wrapText="1"/>
    </xf>
    <xf numFmtId="0" fontId="19" fillId="5" borderId="1" xfId="0" applyFont="1" applyFill="1" applyBorder="1" applyAlignment="1">
      <alignment horizontal="center" vertical="center" textRotation="90" wrapText="1"/>
    </xf>
    <xf numFmtId="0" fontId="19" fillId="5" borderId="2" xfId="0" applyFont="1" applyFill="1" applyBorder="1" applyAlignment="1">
      <alignment horizontal="center" vertical="center" textRotation="90" wrapText="1"/>
    </xf>
    <xf numFmtId="0" fontId="14" fillId="9" borderId="41" xfId="0" applyFont="1" applyFill="1" applyBorder="1" applyAlignment="1">
      <alignment horizontal="left" vertical="center" wrapText="1"/>
    </xf>
    <xf numFmtId="0" fontId="14" fillId="9" borderId="42" xfId="0" applyFont="1" applyFill="1" applyBorder="1" applyAlignment="1">
      <alignment horizontal="left" vertical="center" wrapText="1"/>
    </xf>
    <xf numFmtId="0" fontId="14" fillId="9" borderId="43"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0" fontId="20" fillId="5" borderId="2" xfId="0" applyFont="1" applyFill="1" applyBorder="1" applyAlignment="1">
      <alignment horizontal="left" vertical="center" wrapText="1"/>
    </xf>
    <xf numFmtId="0" fontId="19" fillId="5" borderId="0" xfId="0" applyFont="1" applyFill="1" applyAlignment="1">
      <alignment horizontal="center" vertical="center"/>
    </xf>
    <xf numFmtId="0" fontId="19" fillId="5" borderId="1" xfId="0" applyFont="1" applyFill="1" applyBorder="1" applyAlignment="1" applyProtection="1">
      <alignment horizontal="center" vertical="center" textRotation="90" wrapText="1"/>
      <protection hidden="1"/>
    </xf>
    <xf numFmtId="0" fontId="19" fillId="5" borderId="2" xfId="0" applyFont="1" applyFill="1" applyBorder="1" applyAlignment="1" applyProtection="1">
      <alignment horizontal="center" vertical="center" textRotation="90" wrapText="1"/>
      <protection hidden="1"/>
    </xf>
    <xf numFmtId="0" fontId="19" fillId="5" borderId="4"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26" xfId="0" applyFont="1" applyFill="1" applyBorder="1" applyAlignment="1">
      <alignment horizontal="center" vertical="center"/>
    </xf>
    <xf numFmtId="0" fontId="19" fillId="5" borderId="25"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4" fillId="9" borderId="16"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0" borderId="22" xfId="0" quotePrefix="1" applyFont="1" applyBorder="1" applyAlignment="1">
      <alignment horizontal="left" vertical="center" wrapText="1"/>
    </xf>
    <xf numFmtId="0" fontId="19" fillId="5" borderId="1" xfId="0" applyFont="1" applyFill="1" applyBorder="1" applyAlignment="1" applyProtection="1">
      <alignment horizontal="center" vertical="center" textRotation="90" wrapText="1"/>
      <protection locked="0"/>
    </xf>
    <xf numFmtId="0" fontId="19" fillId="5" borderId="2" xfId="0" applyFont="1" applyFill="1" applyBorder="1" applyAlignment="1" applyProtection="1">
      <alignment horizontal="center" vertical="center" textRotation="90" wrapText="1"/>
      <protection locked="0"/>
    </xf>
    <xf numFmtId="0" fontId="19" fillId="5" borderId="2"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19" fillId="5" borderId="5" xfId="0" applyFont="1" applyFill="1" applyBorder="1" applyAlignment="1" applyProtection="1">
      <alignment horizontal="center" vertical="center"/>
      <protection locked="0"/>
    </xf>
    <xf numFmtId="0" fontId="16" fillId="9" borderId="16"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7" fillId="2" borderId="22" xfId="0" applyFont="1" applyFill="1" applyBorder="1" applyAlignment="1" applyProtection="1">
      <alignment horizontal="center" vertical="center"/>
      <protection locked="0"/>
    </xf>
    <xf numFmtId="0" fontId="17" fillId="2" borderId="23" xfId="0" applyFont="1" applyFill="1" applyBorder="1" applyAlignment="1" applyProtection="1">
      <alignment horizontal="center" vertical="center"/>
      <protection locked="0"/>
    </xf>
    <xf numFmtId="0" fontId="17" fillId="2" borderId="24" xfId="0" applyFont="1" applyFill="1" applyBorder="1" applyAlignment="1" applyProtection="1">
      <alignment horizontal="center" vertical="center"/>
      <protection locked="0"/>
    </xf>
    <xf numFmtId="0" fontId="14" fillId="2" borderId="22"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9" fillId="5" borderId="25"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0" borderId="0" xfId="0" applyFont="1" applyAlignment="1" applyProtection="1">
      <alignment horizontal="center" vertical="center" textRotation="90" wrapText="1"/>
      <protection hidden="1"/>
    </xf>
    <xf numFmtId="0" fontId="19" fillId="0" borderId="0" xfId="0" applyFont="1" applyAlignment="1">
      <alignment horizontal="center" vertical="center" textRotation="90" wrapText="1"/>
    </xf>
    <xf numFmtId="0" fontId="20" fillId="0" borderId="0" xfId="0" applyFont="1" applyAlignment="1" applyProtection="1">
      <alignment horizontal="center" vertical="center" wrapText="1"/>
      <protection hidden="1"/>
    </xf>
    <xf numFmtId="2" fontId="42" fillId="0" borderId="0" xfId="0" applyNumberFormat="1" applyFont="1" applyAlignment="1">
      <alignment horizontal="center" vertical="center" textRotation="90" wrapText="1"/>
    </xf>
    <xf numFmtId="2" fontId="41" fillId="0" borderId="0" xfId="0" applyNumberFormat="1" applyFont="1" applyAlignment="1">
      <alignment horizontal="center" vertical="center" wrapText="1"/>
    </xf>
    <xf numFmtId="0" fontId="42" fillId="0" borderId="0" xfId="0" applyFont="1" applyAlignment="1">
      <alignment horizontal="center" vertical="center" textRotation="90" wrapText="1"/>
    </xf>
    <xf numFmtId="0" fontId="41" fillId="0" borderId="0" xfId="0" applyFont="1" applyAlignment="1">
      <alignment horizontal="center" vertical="center" wrapText="1"/>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4" fillId="0" borderId="41" xfId="0" applyFont="1" applyBorder="1" applyAlignment="1">
      <alignment horizontal="left" vertical="center" wrapText="1"/>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43" fillId="2" borderId="23" xfId="0" applyFont="1" applyFill="1" applyBorder="1" applyAlignment="1" applyProtection="1">
      <alignment horizontal="left" vertical="center" wrapText="1"/>
      <protection locked="0"/>
    </xf>
    <xf numFmtId="0" fontId="43" fillId="2" borderId="24" xfId="0" applyFont="1" applyFill="1" applyBorder="1" applyAlignment="1" applyProtection="1">
      <alignment horizontal="left" vertical="center" wrapText="1"/>
      <protection locked="0"/>
    </xf>
    <xf numFmtId="0" fontId="19" fillId="3"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9" fillId="3" borderId="4"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117" xfId="0" applyFont="1" applyFill="1" applyBorder="1" applyAlignment="1">
      <alignment horizontal="center" vertical="center" wrapText="1"/>
    </xf>
    <xf numFmtId="0" fontId="19" fillId="3" borderId="4" xfId="0" applyFont="1" applyFill="1" applyBorder="1" applyAlignment="1">
      <alignment vertical="center" wrapText="1"/>
    </xf>
    <xf numFmtId="0" fontId="20" fillId="3" borderId="4" xfId="0" applyFont="1" applyFill="1" applyBorder="1" applyAlignment="1">
      <alignment vertical="center" wrapText="1"/>
    </xf>
    <xf numFmtId="0" fontId="20" fillId="3" borderId="117" xfId="0" applyFont="1" applyFill="1" applyBorder="1" applyAlignment="1">
      <alignment vertical="center" wrapText="1"/>
    </xf>
    <xf numFmtId="0" fontId="19" fillId="3" borderId="0" xfId="0" applyFont="1" applyFill="1" applyAlignment="1">
      <alignment horizontal="center" vertical="center"/>
    </xf>
    <xf numFmtId="0" fontId="19" fillId="3" borderId="1" xfId="0" applyFont="1" applyFill="1" applyBorder="1" applyAlignment="1" applyProtection="1">
      <alignment horizontal="center" vertical="center" textRotation="90" wrapText="1"/>
      <protection hidden="1"/>
    </xf>
    <xf numFmtId="0" fontId="19" fillId="3" borderId="2" xfId="0" applyFont="1" applyFill="1" applyBorder="1" applyAlignment="1" applyProtection="1">
      <alignment horizontal="center" vertical="center" textRotation="90" wrapText="1"/>
      <protection hidden="1"/>
    </xf>
    <xf numFmtId="0" fontId="19" fillId="3" borderId="119" xfId="0" applyFont="1" applyFill="1" applyBorder="1" applyAlignment="1">
      <alignment horizontal="center" vertical="center" textRotation="90" wrapText="1"/>
    </xf>
    <xf numFmtId="0" fontId="19" fillId="3" borderId="121" xfId="0" applyFont="1" applyFill="1" applyBorder="1" applyAlignment="1">
      <alignment horizontal="center" vertical="center" textRotation="90" wrapText="1"/>
    </xf>
    <xf numFmtId="0" fontId="19" fillId="3" borderId="123" xfId="0" applyFont="1" applyFill="1" applyBorder="1" applyAlignment="1">
      <alignment horizontal="center" vertical="center" textRotation="90" wrapText="1"/>
    </xf>
    <xf numFmtId="0" fontId="19" fillId="3" borderId="119" xfId="0" applyFont="1" applyFill="1" applyBorder="1" applyAlignment="1" applyProtection="1">
      <alignment horizontal="center" vertical="center" textRotation="90" wrapText="1"/>
      <protection hidden="1"/>
    </xf>
    <xf numFmtId="0" fontId="19" fillId="3" borderId="121" xfId="0" applyFont="1" applyFill="1" applyBorder="1" applyAlignment="1" applyProtection="1">
      <alignment horizontal="center" vertical="center" textRotation="90" wrapText="1"/>
      <protection hidden="1"/>
    </xf>
    <xf numFmtId="0" fontId="19" fillId="3" borderId="123" xfId="0" applyFont="1" applyFill="1" applyBorder="1" applyAlignment="1" applyProtection="1">
      <alignment horizontal="center" vertical="center" textRotation="90" wrapText="1"/>
      <protection hidden="1"/>
    </xf>
    <xf numFmtId="0" fontId="14" fillId="0" borderId="21" xfId="0" applyFont="1" applyBorder="1" applyAlignment="1">
      <alignment horizontal="left" vertical="center" wrapText="1"/>
    </xf>
    <xf numFmtId="0" fontId="16" fillId="2" borderId="88" xfId="0" applyFont="1" applyFill="1" applyBorder="1" applyAlignment="1" applyProtection="1">
      <alignment horizontal="left" vertical="center" wrapText="1"/>
      <protection locked="0"/>
    </xf>
    <xf numFmtId="0" fontId="16" fillId="2" borderId="88" xfId="0" applyFont="1" applyFill="1" applyBorder="1" applyAlignment="1" applyProtection="1">
      <alignment horizontal="center" vertical="center"/>
      <protection locked="0"/>
    </xf>
    <xf numFmtId="0" fontId="19" fillId="3" borderId="1"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52" xfId="0" applyFont="1" applyFill="1" applyBorder="1" applyAlignment="1">
      <alignment horizontal="center" vertical="center" textRotation="90" wrapText="1"/>
    </xf>
    <xf numFmtId="0" fontId="19" fillId="3" borderId="1" xfId="0" applyFont="1" applyFill="1" applyBorder="1" applyAlignment="1">
      <alignment horizontal="center" vertical="center" textRotation="90" wrapText="1"/>
    </xf>
    <xf numFmtId="0" fontId="19" fillId="3" borderId="51" xfId="0" applyFont="1" applyFill="1" applyBorder="1" applyAlignment="1">
      <alignment horizontal="center" vertical="center" textRotation="90" wrapText="1"/>
    </xf>
    <xf numFmtId="0" fontId="16" fillId="2" borderId="116" xfId="0" applyFont="1" applyFill="1" applyBorder="1" applyAlignment="1" applyProtection="1">
      <alignment horizontal="center" vertical="center"/>
      <protection locked="0"/>
    </xf>
    <xf numFmtId="0" fontId="19" fillId="3" borderId="118" xfId="0" applyFont="1" applyFill="1" applyBorder="1" applyAlignment="1">
      <alignment horizontal="left" vertical="top" wrapText="1"/>
    </xf>
    <xf numFmtId="0" fontId="20" fillId="3" borderId="120" xfId="0" applyFont="1" applyFill="1" applyBorder="1" applyAlignment="1">
      <alignment horizontal="left" vertical="top" wrapText="1"/>
    </xf>
    <xf numFmtId="0" fontId="20" fillId="3" borderId="122" xfId="0" applyFont="1" applyFill="1" applyBorder="1" applyAlignment="1">
      <alignment horizontal="left" vertical="top" wrapText="1"/>
    </xf>
    <xf numFmtId="0" fontId="19" fillId="3" borderId="52"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51" xfId="0" applyFont="1" applyFill="1" applyBorder="1" applyAlignment="1">
      <alignment horizontal="center" vertical="center" wrapText="1"/>
    </xf>
    <xf numFmtId="0" fontId="19" fillId="3" borderId="52" xfId="0" applyFont="1" applyFill="1" applyBorder="1" applyAlignment="1">
      <alignment horizontal="center" vertical="center"/>
    </xf>
    <xf numFmtId="0" fontId="19" fillId="3" borderId="1" xfId="0" applyFont="1" applyFill="1" applyBorder="1" applyAlignment="1" applyProtection="1">
      <alignment horizontal="center" vertical="center" textRotation="90" wrapText="1"/>
      <protection locked="0"/>
    </xf>
    <xf numFmtId="0" fontId="19" fillId="3" borderId="2" xfId="0" applyFont="1" applyFill="1" applyBorder="1" applyAlignment="1" applyProtection="1">
      <alignment horizontal="center" vertical="center" textRotation="90" wrapText="1"/>
      <protection locked="0"/>
    </xf>
    <xf numFmtId="0" fontId="19" fillId="3"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wrapText="1"/>
      <protection locked="0"/>
    </xf>
    <xf numFmtId="0" fontId="19" fillId="3" borderId="26" xfId="0" applyFont="1" applyFill="1" applyBorder="1" applyAlignment="1" applyProtection="1">
      <alignment horizontal="center" vertical="center"/>
      <protection locked="0"/>
    </xf>
    <xf numFmtId="0" fontId="19" fillId="3" borderId="2"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52"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9" fillId="3" borderId="51" xfId="0" applyFont="1" applyFill="1" applyBorder="1" applyAlignment="1" applyProtection="1">
      <alignment horizontal="center" vertical="center" wrapText="1"/>
      <protection locked="0"/>
    </xf>
    <xf numFmtId="0" fontId="16" fillId="2" borderId="56" xfId="0" applyFont="1" applyFill="1" applyBorder="1" applyAlignment="1" applyProtection="1">
      <alignment horizontal="center" vertical="center" wrapText="1"/>
      <protection locked="0"/>
    </xf>
    <xf numFmtId="0" fontId="19" fillId="3" borderId="46" xfId="0" applyFont="1" applyFill="1" applyBorder="1" applyAlignment="1">
      <alignment horizontal="center" vertical="center" wrapText="1"/>
    </xf>
    <xf numFmtId="0" fontId="19" fillId="3" borderId="52" xfId="0" applyFont="1" applyFill="1" applyBorder="1" applyAlignment="1" applyProtection="1">
      <alignment horizontal="center" vertical="center" textRotation="90" wrapText="1"/>
      <protection locked="0"/>
    </xf>
    <xf numFmtId="0" fontId="19" fillId="3" borderId="51" xfId="0" applyFont="1" applyFill="1" applyBorder="1" applyAlignment="1" applyProtection="1">
      <alignment horizontal="center" vertical="center" textRotation="90" wrapText="1"/>
      <protection locked="0"/>
    </xf>
    <xf numFmtId="0" fontId="19" fillId="3" borderId="76" xfId="0" applyFont="1" applyFill="1" applyBorder="1" applyAlignment="1" applyProtection="1">
      <alignment horizontal="center" vertical="center"/>
      <protection locked="0"/>
    </xf>
    <xf numFmtId="0" fontId="19" fillId="3" borderId="77" xfId="0" applyFont="1" applyFill="1" applyBorder="1" applyAlignment="1" applyProtection="1">
      <alignment horizontal="center" vertical="center"/>
      <protection locked="0"/>
    </xf>
    <xf numFmtId="0" fontId="19" fillId="3" borderId="51" xfId="0" applyFont="1" applyFill="1" applyBorder="1" applyAlignment="1" applyProtection="1">
      <alignment horizontal="center" vertical="center"/>
      <protection locked="0"/>
    </xf>
    <xf numFmtId="168" fontId="20" fillId="0" borderId="0" xfId="0" applyNumberFormat="1" applyFont="1" applyAlignment="1" applyProtection="1">
      <alignment horizontal="center" vertical="center" wrapText="1"/>
      <protection hidden="1"/>
    </xf>
    <xf numFmtId="0" fontId="16" fillId="0" borderId="136" xfId="0" applyFont="1" applyBorder="1" applyAlignment="1">
      <alignment horizontal="left" vertical="top" wrapText="1"/>
    </xf>
    <xf numFmtId="0" fontId="16" fillId="0" borderId="137" xfId="0" applyFont="1" applyBorder="1" applyAlignment="1">
      <alignment horizontal="left" vertical="top" wrapText="1"/>
    </xf>
    <xf numFmtId="0" fontId="16" fillId="0" borderId="138" xfId="0" applyFont="1" applyBorder="1" applyAlignment="1">
      <alignment horizontal="left" vertical="top" wrapText="1"/>
    </xf>
    <xf numFmtId="0" fontId="21" fillId="7" borderId="27" xfId="0" applyFont="1" applyFill="1" applyBorder="1" applyAlignment="1">
      <alignment horizontal="left" vertical="top" wrapText="1"/>
    </xf>
    <xf numFmtId="0" fontId="19" fillId="7" borderId="27" xfId="0" applyFont="1" applyFill="1" applyBorder="1" applyAlignment="1">
      <alignment horizontal="left" vertical="top" wrapText="1"/>
    </xf>
    <xf numFmtId="0" fontId="21" fillId="7" borderId="53" xfId="0" applyFont="1" applyFill="1" applyBorder="1" applyAlignment="1">
      <alignment horizontal="left" vertical="top" wrapText="1"/>
    </xf>
    <xf numFmtId="0" fontId="19" fillId="7" borderId="74" xfId="0" applyFont="1" applyFill="1" applyBorder="1" applyAlignment="1" applyProtection="1">
      <alignment horizontal="center" vertical="center" textRotation="90" wrapText="1"/>
      <protection hidden="1"/>
    </xf>
    <xf numFmtId="0" fontId="19" fillId="7" borderId="75" xfId="0" applyFont="1" applyFill="1" applyBorder="1" applyAlignment="1" applyProtection="1">
      <alignment horizontal="center" vertical="center" textRotation="90" wrapText="1"/>
      <protection hidden="1"/>
    </xf>
    <xf numFmtId="0" fontId="19" fillId="7" borderId="74" xfId="0" applyFont="1" applyFill="1" applyBorder="1" applyAlignment="1">
      <alignment horizontal="center" vertical="center" textRotation="90" wrapText="1"/>
    </xf>
    <xf numFmtId="0" fontId="19" fillId="7" borderId="75" xfId="0" applyFont="1" applyFill="1" applyBorder="1" applyAlignment="1">
      <alignment horizontal="center" vertical="center" textRotation="90" wrapText="1"/>
    </xf>
    <xf numFmtId="0" fontId="19" fillId="7" borderId="0" xfId="0" applyFont="1" applyFill="1" applyAlignment="1">
      <alignment horizontal="center" vertical="center"/>
    </xf>
    <xf numFmtId="0" fontId="16" fillId="0" borderId="52" xfId="0" applyFont="1" applyBorder="1" applyAlignment="1">
      <alignment horizontal="left" vertical="center" wrapText="1"/>
    </xf>
    <xf numFmtId="0" fontId="16" fillId="0" borderId="1" xfId="0" applyFont="1" applyBorder="1" applyAlignment="1">
      <alignment horizontal="left" vertical="center" wrapText="1"/>
    </xf>
    <xf numFmtId="0" fontId="16" fillId="0" borderId="51" xfId="0" applyFont="1" applyBorder="1" applyAlignment="1">
      <alignment horizontal="left" vertical="center" wrapText="1"/>
    </xf>
    <xf numFmtId="0" fontId="19" fillId="7" borderId="27" xfId="0" applyFont="1" applyFill="1" applyBorder="1" applyAlignment="1">
      <alignment horizontal="center" vertical="center"/>
    </xf>
    <xf numFmtId="0" fontId="16" fillId="0" borderId="50" xfId="0" applyFont="1" applyBorder="1" applyAlignment="1">
      <alignment horizontal="left" vertical="center" wrapText="1"/>
    </xf>
    <xf numFmtId="0" fontId="16" fillId="2" borderId="52"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6" fillId="2" borderId="51" xfId="0" applyFont="1" applyFill="1" applyBorder="1" applyAlignment="1">
      <alignment horizontal="justify" vertical="center" wrapText="1"/>
    </xf>
    <xf numFmtId="0" fontId="19" fillId="7" borderId="27" xfId="0" applyFont="1" applyFill="1" applyBorder="1" applyAlignment="1">
      <alignment horizontal="center" vertical="center" wrapText="1"/>
    </xf>
    <xf numFmtId="0" fontId="19" fillId="7" borderId="27" xfId="0" applyFont="1" applyFill="1" applyBorder="1" applyAlignment="1" applyProtection="1">
      <alignment horizontal="center" vertical="center" wrapText="1"/>
      <protection locked="0"/>
    </xf>
    <xf numFmtId="0" fontId="19" fillId="7" borderId="27" xfId="0" applyFont="1" applyFill="1" applyBorder="1" applyAlignment="1" applyProtection="1">
      <alignment horizontal="center" vertical="center"/>
      <protection locked="0"/>
    </xf>
    <xf numFmtId="0" fontId="19" fillId="7" borderId="27" xfId="0" applyFont="1" applyFill="1" applyBorder="1" applyAlignment="1" applyProtection="1">
      <alignment horizontal="center" vertical="center" textRotation="90" wrapText="1"/>
      <protection locked="0"/>
    </xf>
    <xf numFmtId="0" fontId="16" fillId="0" borderId="52"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51"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141" xfId="0" applyFont="1" applyBorder="1" applyAlignment="1">
      <alignment horizontal="justify" vertical="center" wrapText="1"/>
    </xf>
    <xf numFmtId="0" fontId="16" fillId="0" borderId="92" xfId="0" applyFont="1" applyBorder="1" applyAlignment="1">
      <alignment horizontal="justify" vertical="center" wrapText="1"/>
    </xf>
    <xf numFmtId="0" fontId="16" fillId="0" borderId="93" xfId="0" applyFont="1" applyBorder="1" applyAlignment="1">
      <alignment horizontal="justify" vertical="center" wrapText="1"/>
    </xf>
    <xf numFmtId="0" fontId="14" fillId="0" borderId="139" xfId="0" applyFont="1" applyBorder="1" applyAlignment="1">
      <alignment horizontal="left" vertical="center" wrapText="1"/>
    </xf>
    <xf numFmtId="0" fontId="14" fillId="0" borderId="86" xfId="0" applyFont="1" applyBorder="1" applyAlignment="1">
      <alignment horizontal="left" vertical="center" wrapText="1"/>
    </xf>
    <xf numFmtId="0" fontId="14" fillId="0" borderId="140" xfId="0" applyFont="1" applyBorder="1" applyAlignment="1">
      <alignment horizontal="left" vertical="center" wrapText="1"/>
    </xf>
    <xf numFmtId="0" fontId="19" fillId="7" borderId="27" xfId="0" applyFont="1" applyFill="1" applyBorder="1" applyAlignment="1">
      <alignment horizontal="center" vertical="center" textRotation="90" wrapText="1"/>
    </xf>
    <xf numFmtId="0" fontId="14" fillId="0" borderId="110" xfId="0" applyFont="1" applyBorder="1" applyAlignment="1">
      <alignment horizontal="left" vertical="center" wrapText="1"/>
    </xf>
    <xf numFmtId="0" fontId="14" fillId="0" borderId="111" xfId="0" applyFont="1" applyBorder="1" applyAlignment="1">
      <alignment horizontal="left" vertical="center" wrapText="1"/>
    </xf>
    <xf numFmtId="0" fontId="14" fillId="0" borderId="112" xfId="0" applyFont="1" applyBorder="1" applyAlignment="1">
      <alignment horizontal="left" vertical="center" wrapText="1"/>
    </xf>
    <xf numFmtId="0" fontId="14" fillId="0" borderId="46" xfId="0" applyFont="1" applyBorder="1" applyAlignment="1">
      <alignment horizontal="justify" vertical="center" wrapText="1"/>
    </xf>
    <xf numFmtId="0" fontId="14" fillId="0" borderId="25" xfId="0" applyFont="1" applyBorder="1" applyAlignment="1">
      <alignment horizontal="justify" vertical="center" wrapText="1"/>
    </xf>
    <xf numFmtId="0" fontId="14" fillId="0" borderId="26" xfId="0" applyFont="1" applyBorder="1" applyAlignment="1">
      <alignment horizontal="justify" vertical="center" wrapText="1"/>
    </xf>
    <xf numFmtId="0" fontId="16" fillId="0" borderId="46" xfId="0" applyFont="1" applyBorder="1" applyAlignment="1">
      <alignment horizontal="justify" vertical="center" wrapText="1"/>
    </xf>
    <xf numFmtId="0" fontId="16" fillId="0" borderId="25" xfId="0" applyFont="1" applyBorder="1" applyAlignment="1">
      <alignment horizontal="justify" vertical="center" wrapText="1"/>
    </xf>
    <xf numFmtId="0" fontId="16" fillId="0" borderId="26" xfId="0" applyFont="1" applyBorder="1" applyAlignment="1">
      <alignment horizontal="justify" vertical="center" wrapText="1"/>
    </xf>
    <xf numFmtId="0" fontId="16" fillId="0" borderId="2"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9" fillId="7" borderId="47" xfId="0" applyFont="1" applyFill="1" applyBorder="1" applyAlignment="1">
      <alignment horizontal="center" vertical="center" wrapText="1"/>
    </xf>
    <xf numFmtId="0" fontId="19" fillId="7" borderId="48"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0" borderId="0" xfId="0" applyFont="1" applyAlignment="1">
      <alignment horizontal="left" vertical="center" wrapText="1"/>
    </xf>
    <xf numFmtId="0" fontId="19" fillId="7" borderId="47" xfId="0" applyFont="1" applyFill="1" applyBorder="1" applyAlignment="1" applyProtection="1">
      <alignment horizontal="center" vertical="center" wrapText="1"/>
      <protection locked="0"/>
    </xf>
    <xf numFmtId="0" fontId="19" fillId="7" borderId="48" xfId="0" applyFont="1" applyFill="1" applyBorder="1" applyAlignment="1" applyProtection="1">
      <alignment horizontal="center" vertical="center" wrapText="1"/>
      <protection locked="0"/>
    </xf>
    <xf numFmtId="0" fontId="19" fillId="7" borderId="49" xfId="0" applyFont="1" applyFill="1" applyBorder="1" applyAlignment="1" applyProtection="1">
      <alignment horizontal="center" vertical="center" wrapText="1"/>
      <protection locked="0"/>
    </xf>
    <xf numFmtId="0" fontId="20" fillId="8" borderId="27" xfId="0" applyFont="1" applyFill="1" applyBorder="1" applyAlignment="1">
      <alignment horizontal="left" vertical="center" wrapText="1"/>
    </xf>
    <xf numFmtId="0" fontId="19" fillId="8" borderId="27" xfId="0" applyFont="1" applyFill="1" applyBorder="1" applyAlignment="1">
      <alignment horizontal="left" vertical="center" wrapText="1"/>
    </xf>
    <xf numFmtId="0" fontId="19" fillId="8" borderId="74" xfId="0" applyFont="1" applyFill="1" applyBorder="1" applyAlignment="1" applyProtection="1">
      <alignment horizontal="center" vertical="center" textRotation="90" wrapText="1"/>
      <protection hidden="1"/>
    </xf>
    <xf numFmtId="0" fontId="19" fillId="8" borderId="75" xfId="0" applyFont="1" applyFill="1" applyBorder="1" applyAlignment="1" applyProtection="1">
      <alignment horizontal="center" vertical="center" textRotation="90" wrapText="1"/>
      <protection hidden="1"/>
    </xf>
    <xf numFmtId="0" fontId="19" fillId="8" borderId="74" xfId="0" applyFont="1" applyFill="1" applyBorder="1" applyAlignment="1">
      <alignment horizontal="center" vertical="center" textRotation="90" wrapText="1"/>
    </xf>
    <xf numFmtId="0" fontId="19" fillId="8" borderId="75" xfId="0" applyFont="1" applyFill="1" applyBorder="1" applyAlignment="1">
      <alignment horizontal="center" vertical="center" textRotation="90" wrapText="1"/>
    </xf>
    <xf numFmtId="0" fontId="19" fillId="8" borderId="0" xfId="0" applyFont="1" applyFill="1" applyAlignment="1">
      <alignment horizontal="center" vertical="center"/>
    </xf>
    <xf numFmtId="0" fontId="19" fillId="8" borderId="27" xfId="0" applyFont="1" applyFill="1" applyBorder="1" applyAlignment="1">
      <alignment horizontal="center" vertical="center" wrapText="1"/>
    </xf>
    <xf numFmtId="0" fontId="19" fillId="8" borderId="27" xfId="0" applyFont="1" applyFill="1" applyBorder="1" applyAlignment="1">
      <alignment horizontal="center" vertical="center"/>
    </xf>
    <xf numFmtId="0" fontId="19" fillId="8" borderId="27" xfId="0" applyFont="1" applyFill="1" applyBorder="1" applyAlignment="1">
      <alignment horizontal="center" vertical="center" textRotation="90" wrapText="1"/>
    </xf>
    <xf numFmtId="0" fontId="19" fillId="8" borderId="47" xfId="0" applyFont="1" applyFill="1" applyBorder="1" applyAlignment="1">
      <alignment horizontal="center" vertical="center" wrapText="1"/>
    </xf>
    <xf numFmtId="0" fontId="19" fillId="8" borderId="48" xfId="0" applyFont="1" applyFill="1" applyBorder="1" applyAlignment="1">
      <alignment horizontal="center" vertical="center" wrapText="1"/>
    </xf>
    <xf numFmtId="0" fontId="19" fillId="8" borderId="49" xfId="0" applyFont="1" applyFill="1" applyBorder="1" applyAlignment="1">
      <alignment horizontal="center" vertical="center" wrapText="1"/>
    </xf>
    <xf numFmtId="0" fontId="19" fillId="8" borderId="27" xfId="0" applyFont="1" applyFill="1" applyBorder="1" applyAlignment="1" applyProtection="1">
      <alignment horizontal="center" vertical="center"/>
      <protection locked="0"/>
    </xf>
    <xf numFmtId="0" fontId="14" fillId="0" borderId="41" xfId="0" quotePrefix="1" applyFont="1" applyBorder="1" applyAlignment="1">
      <alignment vertical="center" wrapText="1"/>
    </xf>
    <xf numFmtId="0" fontId="14" fillId="0" borderId="42" xfId="0" applyFont="1" applyBorder="1" applyAlignment="1">
      <alignment vertical="center" wrapText="1"/>
    </xf>
    <xf numFmtId="0" fontId="14" fillId="0" borderId="43" xfId="0" applyFont="1" applyBorder="1" applyAlignment="1">
      <alignment vertical="center" wrapText="1"/>
    </xf>
    <xf numFmtId="0" fontId="19" fillId="8" borderId="27" xfId="0" applyFont="1" applyFill="1" applyBorder="1" applyAlignment="1" applyProtection="1">
      <alignment horizontal="center" vertical="center" textRotation="90" wrapText="1"/>
      <protection locked="0"/>
    </xf>
    <xf numFmtId="0" fontId="19" fillId="8" borderId="47" xfId="0" applyFont="1" applyFill="1" applyBorder="1" applyAlignment="1" applyProtection="1">
      <alignment horizontal="center" vertical="center" wrapText="1"/>
      <protection locked="0"/>
    </xf>
    <xf numFmtId="0" fontId="19" fillId="8" borderId="48" xfId="0" applyFont="1" applyFill="1" applyBorder="1" applyAlignment="1" applyProtection="1">
      <alignment horizontal="center" vertical="center" wrapText="1"/>
      <protection locked="0"/>
    </xf>
    <xf numFmtId="0" fontId="19" fillId="8" borderId="49" xfId="0" applyFont="1" applyFill="1" applyBorder="1" applyAlignment="1" applyProtection="1">
      <alignment horizontal="center" vertical="center" wrapText="1"/>
      <protection locked="0"/>
    </xf>
    <xf numFmtId="167" fontId="19" fillId="0" borderId="0" xfId="0" applyNumberFormat="1" applyFont="1" applyAlignment="1">
      <alignment horizontal="center" vertical="center" textRotation="90" wrapText="1"/>
    </xf>
    <xf numFmtId="167" fontId="20" fillId="0" borderId="0" xfId="0" applyNumberFormat="1" applyFont="1" applyAlignment="1" applyProtection="1">
      <alignment horizontal="center" vertical="center" wrapText="1"/>
      <protection hidden="1"/>
    </xf>
    <xf numFmtId="167" fontId="19" fillId="0" borderId="0" xfId="0" applyNumberFormat="1" applyFont="1" applyAlignment="1" applyProtection="1">
      <alignment horizontal="center" vertical="center" textRotation="90" wrapText="1"/>
      <protection hidden="1"/>
    </xf>
    <xf numFmtId="0" fontId="29" fillId="16" borderId="76" xfId="3" applyFont="1" applyFill="1" applyBorder="1" applyAlignment="1">
      <alignment horizontal="center" vertical="center"/>
    </xf>
    <xf numFmtId="0" fontId="29" fillId="16" borderId="77" xfId="3" applyFont="1" applyFill="1" applyBorder="1" applyAlignment="1">
      <alignment horizontal="center" vertical="center"/>
    </xf>
    <xf numFmtId="0" fontId="29" fillId="16" borderId="101" xfId="3" applyFont="1" applyFill="1" applyBorder="1" applyAlignment="1">
      <alignment horizontal="center" vertical="center"/>
    </xf>
    <xf numFmtId="0" fontId="28" fillId="16" borderId="109" xfId="3" applyFont="1" applyFill="1" applyBorder="1" applyAlignment="1">
      <alignment horizontal="center" vertical="center" wrapText="1"/>
    </xf>
    <xf numFmtId="0" fontId="28" fillId="16" borderId="106" xfId="3" applyFont="1" applyFill="1" applyBorder="1" applyAlignment="1">
      <alignment horizontal="center" vertical="center" wrapText="1"/>
    </xf>
    <xf numFmtId="9" fontId="34" fillId="2" borderId="46" xfId="3" applyNumberFormat="1" applyFont="1" applyFill="1" applyBorder="1" applyAlignment="1" applyProtection="1">
      <alignment horizontal="center" vertical="center"/>
      <protection hidden="1"/>
    </xf>
    <xf numFmtId="9" fontId="34" fillId="2" borderId="25" xfId="3" applyNumberFormat="1" applyFont="1" applyFill="1" applyBorder="1" applyAlignment="1" applyProtection="1">
      <alignment horizontal="center" vertical="center"/>
      <protection hidden="1"/>
    </xf>
    <xf numFmtId="9" fontId="34" fillId="2" borderId="3" xfId="3" applyNumberFormat="1" applyFont="1" applyFill="1" applyBorder="1" applyAlignment="1" applyProtection="1">
      <alignment horizontal="center" vertical="center"/>
      <protection hidden="1"/>
    </xf>
    <xf numFmtId="9" fontId="34" fillId="2" borderId="2" xfId="3" applyNumberFormat="1" applyFont="1" applyFill="1" applyBorder="1" applyAlignment="1" applyProtection="1">
      <alignment horizontal="center" vertical="center"/>
      <protection hidden="1"/>
    </xf>
    <xf numFmtId="0" fontId="10" fillId="14" borderId="125" xfId="3" applyFont="1" applyFill="1" applyBorder="1" applyAlignment="1">
      <alignment horizontal="center" vertical="center"/>
    </xf>
    <xf numFmtId="0" fontId="10" fillId="14" borderId="54" xfId="3" applyFont="1" applyFill="1" applyBorder="1" applyAlignment="1">
      <alignment horizontal="center" vertical="center"/>
    </xf>
    <xf numFmtId="0" fontId="6" fillId="0" borderId="54" xfId="3" applyFont="1" applyBorder="1" applyAlignment="1">
      <alignment horizontal="justify" vertical="center" wrapText="1"/>
    </xf>
    <xf numFmtId="0" fontId="39" fillId="3" borderId="79" xfId="0" applyFont="1" applyFill="1" applyBorder="1" applyAlignment="1">
      <alignment horizontal="center" vertical="center"/>
    </xf>
    <xf numFmtId="0" fontId="39" fillId="3" borderId="80" xfId="0" applyFont="1" applyFill="1" applyBorder="1" applyAlignment="1">
      <alignment horizontal="center" vertical="center"/>
    </xf>
    <xf numFmtId="0" fontId="39" fillId="3" borderId="81" xfId="0" applyFont="1" applyFill="1" applyBorder="1" applyAlignment="1">
      <alignment horizontal="center" vertical="center"/>
    </xf>
    <xf numFmtId="0" fontId="29" fillId="3" borderId="133" xfId="3" applyFont="1" applyFill="1" applyBorder="1" applyAlignment="1">
      <alignment horizontal="center" vertical="center" wrapText="1"/>
    </xf>
    <xf numFmtId="0" fontId="29" fillId="3" borderId="134" xfId="3" applyFont="1" applyFill="1" applyBorder="1" applyAlignment="1">
      <alignment horizontal="center" vertical="center" wrapText="1"/>
    </xf>
    <xf numFmtId="0" fontId="10" fillId="15" borderId="130" xfId="3" applyFont="1" applyFill="1" applyBorder="1" applyAlignment="1">
      <alignment horizontal="center" vertical="center"/>
    </xf>
    <xf numFmtId="0" fontId="10" fillId="15" borderId="131" xfId="3" applyFont="1" applyFill="1" applyBorder="1" applyAlignment="1">
      <alignment horizontal="center" vertical="center"/>
    </xf>
    <xf numFmtId="0" fontId="6" fillId="0" borderId="131" xfId="3" applyFont="1" applyBorder="1" applyAlignment="1">
      <alignment horizontal="justify" vertical="center" wrapText="1"/>
    </xf>
    <xf numFmtId="0" fontId="29" fillId="3" borderId="135" xfId="3" applyFont="1" applyFill="1" applyBorder="1" applyAlignment="1">
      <alignment horizontal="center" vertical="center" wrapText="1"/>
    </xf>
    <xf numFmtId="0" fontId="6" fillId="0" borderId="132" xfId="3" applyFont="1" applyBorder="1" applyAlignment="1">
      <alignment horizontal="justify" vertical="center" wrapText="1"/>
    </xf>
    <xf numFmtId="0" fontId="6" fillId="0" borderId="126" xfId="3" applyFont="1" applyBorder="1" applyAlignment="1">
      <alignment horizontal="justify" vertical="center" wrapText="1"/>
    </xf>
    <xf numFmtId="0" fontId="10" fillId="12" borderId="127" xfId="3" applyFont="1" applyFill="1" applyBorder="1" applyAlignment="1">
      <alignment horizontal="center" vertical="center" wrapText="1"/>
    </xf>
    <xf numFmtId="0" fontId="10" fillId="12" borderId="128" xfId="3" applyFont="1" applyFill="1" applyBorder="1" applyAlignment="1">
      <alignment horizontal="center" vertical="center"/>
    </xf>
    <xf numFmtId="0" fontId="6" fillId="0" borderId="128" xfId="3" applyFont="1" applyBorder="1" applyAlignment="1">
      <alignment horizontal="justify" vertical="center" wrapText="1"/>
    </xf>
    <xf numFmtId="0" fontId="28" fillId="16" borderId="69" xfId="3" applyFont="1" applyFill="1" applyBorder="1" applyAlignment="1">
      <alignment horizontal="center" vertical="center" wrapText="1"/>
    </xf>
    <xf numFmtId="0" fontId="28" fillId="16" borderId="71" xfId="3" applyFont="1" applyFill="1" applyBorder="1" applyAlignment="1">
      <alignment horizontal="center" vertical="center" wrapText="1"/>
    </xf>
    <xf numFmtId="0" fontId="10" fillId="13" borderId="125" xfId="3" applyFont="1" applyFill="1" applyBorder="1" applyAlignment="1">
      <alignment horizontal="center" vertical="center" wrapText="1"/>
    </xf>
    <xf numFmtId="0" fontId="10" fillId="13" borderId="54" xfId="3" applyFont="1" applyFill="1" applyBorder="1" applyAlignment="1">
      <alignment horizontal="center" vertical="center"/>
    </xf>
    <xf numFmtId="0" fontId="28" fillId="3" borderId="17" xfId="3" applyFont="1" applyFill="1" applyBorder="1" applyAlignment="1">
      <alignment horizontal="center" vertical="center" wrapText="1"/>
    </xf>
    <xf numFmtId="0" fontId="28" fillId="3" borderId="24" xfId="3" applyFont="1" applyFill="1" applyBorder="1" applyAlignment="1">
      <alignment horizontal="center" vertical="center" wrapText="1"/>
    </xf>
    <xf numFmtId="0" fontId="6" fillId="0" borderId="129" xfId="3" applyFont="1" applyBorder="1" applyAlignment="1">
      <alignment horizontal="justify" vertical="center" wrapText="1"/>
    </xf>
    <xf numFmtId="0" fontId="27" fillId="2" borderId="0" xfId="0" applyFont="1" applyFill="1" applyAlignment="1" applyProtection="1">
      <alignment horizontal="left" vertical="center" wrapText="1"/>
      <protection locked="0"/>
    </xf>
    <xf numFmtId="0" fontId="28" fillId="3" borderId="16" xfId="3" applyFont="1" applyFill="1" applyBorder="1" applyAlignment="1">
      <alignment horizontal="center" vertical="center" wrapText="1"/>
    </xf>
    <xf numFmtId="0" fontId="28" fillId="3" borderId="15" xfId="3" applyFont="1" applyFill="1" applyBorder="1" applyAlignment="1">
      <alignment horizontal="center" vertical="center" wrapText="1"/>
    </xf>
    <xf numFmtId="0" fontId="28" fillId="3" borderId="56" xfId="3" applyFont="1" applyFill="1" applyBorder="1" applyAlignment="1">
      <alignment horizontal="center" vertical="center" wrapText="1"/>
    </xf>
    <xf numFmtId="0" fontId="28" fillId="3" borderId="57" xfId="3" applyFont="1" applyFill="1" applyBorder="1" applyAlignment="1">
      <alignment horizontal="center" vertical="center" wrapText="1"/>
    </xf>
    <xf numFmtId="0" fontId="28" fillId="3" borderId="58" xfId="3" applyFont="1" applyFill="1" applyBorder="1" applyAlignment="1">
      <alignment horizontal="center" vertical="center" wrapText="1"/>
    </xf>
    <xf numFmtId="0" fontId="28" fillId="3" borderId="22" xfId="3" applyFont="1" applyFill="1" applyBorder="1" applyAlignment="1">
      <alignment horizontal="center" vertical="center" wrapText="1"/>
    </xf>
    <xf numFmtId="0" fontId="28" fillId="3" borderId="18" xfId="3" applyFont="1" applyFill="1" applyBorder="1" applyAlignment="1">
      <alignment horizontal="center" vertical="center" wrapText="1"/>
    </xf>
    <xf numFmtId="0" fontId="28" fillId="3" borderId="20" xfId="3" applyFont="1" applyFill="1" applyBorder="1" applyAlignment="1">
      <alignment horizontal="center" vertical="center" wrapText="1"/>
    </xf>
    <xf numFmtId="49" fontId="50" fillId="2" borderId="149" xfId="0" applyNumberFormat="1" applyFont="1" applyFill="1" applyBorder="1" applyAlignment="1">
      <alignment horizontal="left" vertical="center" wrapText="1"/>
    </xf>
    <xf numFmtId="49" fontId="50" fillId="2" borderId="150" xfId="0" applyNumberFormat="1" applyFont="1" applyFill="1" applyBorder="1" applyAlignment="1">
      <alignment horizontal="left" vertical="center" wrapText="1"/>
    </xf>
    <xf numFmtId="49" fontId="3" fillId="2" borderId="152" xfId="0" applyNumberFormat="1" applyFont="1" applyFill="1" applyBorder="1" applyAlignment="1" applyProtection="1">
      <alignment horizontal="left" vertical="center" wrapText="1"/>
      <protection locked="0"/>
    </xf>
    <xf numFmtId="49" fontId="3" fillId="2" borderId="153" xfId="0" applyNumberFormat="1" applyFont="1" applyFill="1" applyBorder="1" applyAlignment="1" applyProtection="1">
      <alignment horizontal="left" vertical="center" wrapText="1"/>
      <protection locked="0"/>
    </xf>
    <xf numFmtId="49" fontId="3" fillId="2" borderId="154" xfId="0" applyNumberFormat="1" applyFont="1" applyFill="1" applyBorder="1" applyAlignment="1" applyProtection="1">
      <alignment horizontal="left" vertical="center" wrapText="1"/>
      <protection locked="0"/>
    </xf>
    <xf numFmtId="49" fontId="50" fillId="2" borderId="155" xfId="0" applyNumberFormat="1" applyFont="1" applyFill="1" applyBorder="1" applyAlignment="1">
      <alignment horizontal="left" vertical="center" wrapText="1"/>
    </xf>
    <xf numFmtId="49" fontId="50" fillId="2" borderId="156" xfId="0" applyNumberFormat="1" applyFont="1" applyFill="1" applyBorder="1" applyAlignment="1">
      <alignment horizontal="left" vertical="center" wrapText="1"/>
    </xf>
    <xf numFmtId="49" fontId="0" fillId="2" borderId="152" xfId="0" applyNumberFormat="1" applyFill="1" applyBorder="1" applyAlignment="1" applyProtection="1">
      <alignment horizontal="left" vertical="center" wrapText="1"/>
      <protection locked="0"/>
    </xf>
    <xf numFmtId="49" fontId="0" fillId="2" borderId="153" xfId="0" applyNumberFormat="1" applyFill="1" applyBorder="1" applyAlignment="1" applyProtection="1">
      <alignment horizontal="left" vertical="center" wrapText="1"/>
      <protection locked="0"/>
    </xf>
    <xf numFmtId="49" fontId="0" fillId="2" borderId="154" xfId="0" applyNumberFormat="1" applyFill="1" applyBorder="1" applyAlignment="1" applyProtection="1">
      <alignment horizontal="left" vertical="center" wrapText="1"/>
      <protection locked="0"/>
    </xf>
    <xf numFmtId="0" fontId="39" fillId="3" borderId="2"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44" fillId="2" borderId="1" xfId="0" applyFont="1" applyFill="1" applyBorder="1" applyAlignment="1" applyProtection="1">
      <alignment horizontal="center" vertical="center"/>
      <protection locked="0"/>
    </xf>
    <xf numFmtId="164" fontId="44" fillId="2" borderId="4" xfId="0" applyNumberFormat="1" applyFont="1" applyFill="1" applyBorder="1" applyAlignment="1" applyProtection="1">
      <alignment horizontal="center" vertical="center"/>
      <protection locked="0"/>
    </xf>
    <xf numFmtId="164" fontId="44" fillId="2" borderId="5" xfId="0" applyNumberFormat="1" applyFont="1" applyFill="1" applyBorder="1" applyAlignment="1" applyProtection="1">
      <alignment horizontal="center" vertical="center"/>
      <protection locked="0"/>
    </xf>
    <xf numFmtId="164" fontId="44" fillId="2" borderId="55" xfId="0" applyNumberFormat="1" applyFont="1" applyFill="1" applyBorder="1" applyAlignment="1" applyProtection="1">
      <alignment horizontal="center" vertical="center"/>
      <protection locked="0"/>
    </xf>
    <xf numFmtId="0" fontId="45" fillId="3" borderId="79" xfId="0" applyFont="1" applyFill="1" applyBorder="1" applyAlignment="1">
      <alignment horizontal="center" vertical="center" wrapText="1"/>
    </xf>
    <xf numFmtId="0" fontId="45" fillId="3" borderId="80" xfId="0" applyFont="1" applyFill="1" applyBorder="1" applyAlignment="1">
      <alignment horizontal="center" vertical="center" wrapText="1"/>
    </xf>
    <xf numFmtId="0" fontId="45" fillId="3" borderId="81" xfId="0" applyFont="1" applyFill="1" applyBorder="1" applyAlignment="1">
      <alignment horizontal="center" vertical="center" wrapText="1"/>
    </xf>
    <xf numFmtId="0" fontId="45" fillId="3" borderId="146" xfId="0" applyFont="1" applyFill="1" applyBorder="1" applyAlignment="1">
      <alignment horizontal="center" vertical="center"/>
    </xf>
    <xf numFmtId="0" fontId="45" fillId="3" borderId="147" xfId="0" applyFont="1" applyFill="1" applyBorder="1" applyAlignment="1">
      <alignment horizontal="center" vertical="center"/>
    </xf>
    <xf numFmtId="0" fontId="45" fillId="3" borderId="148" xfId="0" applyFont="1" applyFill="1" applyBorder="1" applyAlignment="1">
      <alignment horizontal="center" vertical="center"/>
    </xf>
    <xf numFmtId="0" fontId="6" fillId="0" borderId="0" xfId="4" applyFont="1" applyAlignment="1"/>
  </cellXfs>
  <cellStyles count="7">
    <cellStyle name="Hipervínculo" xfId="2" builtinId="8"/>
    <cellStyle name="Normal" xfId="0" builtinId="0"/>
    <cellStyle name="Normal - Style1 2" xfId="4" xr:uid="{00000000-0005-0000-0000-000002000000}"/>
    <cellStyle name="Normal 2" xfId="3" xr:uid="{00000000-0005-0000-0000-000003000000}"/>
    <cellStyle name="Normal 2 2" xfId="5" xr:uid="{00000000-0005-0000-0000-000004000000}"/>
    <cellStyle name="Porcentaje" xfId="6" builtinId="5"/>
    <cellStyle name="table_head1" xfId="1" xr:uid="{00000000-0005-0000-0000-000006000000}"/>
  </cellStyles>
  <dxfs count="4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ont>
        <color rgb="FF9C0006"/>
      </font>
    </dxf>
    <dxf>
      <font>
        <color rgb="FF9C6500"/>
      </font>
      <fill>
        <patternFill>
          <bgColor rgb="FFFFEB9C"/>
        </patternFill>
      </fill>
    </dxf>
  </dxfs>
  <tableStyles count="0" defaultTableStyle="TableStyleMedium9" defaultPivotStyle="PivotStyleLight16"/>
  <colors>
    <mruColors>
      <color rgb="FFF7C435"/>
      <color rgb="FFFF9900"/>
      <color rgb="FF83A343"/>
      <color rgb="FFFFCC00"/>
      <color rgb="FF2E3917"/>
      <color rgb="FF262F13"/>
      <color rgb="FFF9D367"/>
      <color rgb="FF0035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2.xml"/><Relationship Id="rId21" Type="http://schemas.openxmlformats.org/officeDocument/2006/relationships/externalLink" Target="externalLinks/externalLink1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1765300</xdr:colOff>
      <xdr:row>0</xdr:row>
      <xdr:rowOff>0</xdr:rowOff>
    </xdr:from>
    <xdr:to>
      <xdr:col>7</xdr:col>
      <xdr:colOff>819555</xdr:colOff>
      <xdr:row>16</xdr:row>
      <xdr:rowOff>7425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191500" y="0"/>
          <a:ext cx="3966503" cy="225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1685925</xdr:colOff>
      <xdr:row>0</xdr:row>
      <xdr:rowOff>0</xdr:rowOff>
    </xdr:from>
    <xdr:to>
      <xdr:col>7</xdr:col>
      <xdr:colOff>2370921</xdr:colOff>
      <xdr:row>7</xdr:row>
      <xdr:rowOff>122591</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7534275" y="0"/>
          <a:ext cx="3958421" cy="2186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2809875</xdr:colOff>
      <xdr:row>0</xdr:row>
      <xdr:rowOff>47625</xdr:rowOff>
    </xdr:from>
    <xdr:to>
      <xdr:col>7</xdr:col>
      <xdr:colOff>545052</xdr:colOff>
      <xdr:row>13</xdr:row>
      <xdr:rowOff>163866</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819775" y="47625"/>
          <a:ext cx="3958421" cy="21863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640773</xdr:colOff>
      <xdr:row>0</xdr:row>
      <xdr:rowOff>43296</xdr:rowOff>
    </xdr:from>
    <xdr:to>
      <xdr:col>7</xdr:col>
      <xdr:colOff>874823</xdr:colOff>
      <xdr:row>9</xdr:row>
      <xdr:rowOff>334548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5870864" y="43296"/>
          <a:ext cx="3957459" cy="235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152400</xdr:colOff>
      <xdr:row>0</xdr:row>
      <xdr:rowOff>0</xdr:rowOff>
    </xdr:from>
    <xdr:to>
      <xdr:col>7</xdr:col>
      <xdr:colOff>845959</xdr:colOff>
      <xdr:row>12</xdr:row>
      <xdr:rowOff>66981</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6000750" y="0"/>
          <a:ext cx="3957459" cy="21497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1742802</xdr:colOff>
      <xdr:row>5</xdr:row>
      <xdr:rowOff>68579</xdr:rowOff>
    </xdr:from>
    <xdr:ext cx="3597525" cy="1846651"/>
    <xdr:pic>
      <xdr:nvPicPr>
        <xdr:cNvPr id="2" name="Imagen 1">
          <a:extLst>
            <a:ext uri="{FF2B5EF4-FFF2-40B4-BE49-F238E27FC236}">
              <a16:creationId xmlns:a16="http://schemas.microsoft.com/office/drawing/2014/main" id="{B3A77D5D-7864-4417-BF0F-78A043B826A2}"/>
            </a:ext>
          </a:extLst>
        </xdr:cNvPr>
        <xdr:cNvPicPr>
          <a:picLocks noChangeAspect="1"/>
        </xdr:cNvPicPr>
      </xdr:nvPicPr>
      <xdr:blipFill>
        <a:blip xmlns:r="http://schemas.openxmlformats.org/officeDocument/2006/relationships" r:embed="rId1"/>
        <a:stretch>
          <a:fillRect/>
        </a:stretch>
      </xdr:blipFill>
      <xdr:spPr>
        <a:xfrm>
          <a:off x="2200002" y="1142999"/>
          <a:ext cx="3597525" cy="184665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DOCUME~1\malas\CONFIG~1\Temp\notesE1EF34\Presupuesto%202007%20(Consul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jdecastro\Downloads\2025-07-21_Evaluacion_sistema_control_interno_2025_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 val="oficialoct"/>
    </sheetNames>
    <sheetDataSet>
      <sheetData sheetId="0" refreshError="1"/>
      <sheetData sheetId="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 val="oficial"/>
    </sheetNames>
    <sheetDataSet>
      <sheetData sheetId="0"/>
      <sheetData sheetId="1"/>
      <sheetData sheetId="2"/>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 val="Cuen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 val="Anexo-Participaciones Dic-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 val="ELIMINA EXT"/>
      <sheetName val="ELIMINA"/>
      <sheetName val="FILIALEXT"/>
      <sheetName val="FILI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 sheetId="34" refreshError="1"/>
      <sheetData sheetId="35" refreshError="1"/>
      <sheetData sheetId="36" refreshError="1"/>
      <sheetData sheetId="3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 val="Gastos regionales"/>
      <sheetName val="Swap Gain MtM (PL.501)"/>
      <sheetName val="Gain on Sale of OREOs (PL.502)"/>
      <sheetName val="Other Income (PL.505)"/>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Other Services (PL.773)"/>
      <sheetName val="Depreciation (PL.797)"/>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 val="CONSOLFIN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 val="MATRIZ"/>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 val="Participación Accionaria Junio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 val="Time Deposits (PL.120)"/>
      <sheetName val="Corporate Expenses (PL.717)"/>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Conclusiones"/>
      <sheetName val="Analisis de Resultados"/>
      <sheetName val="Hoja1"/>
    </sheetNames>
    <sheetDataSet>
      <sheetData sheetId="0"/>
      <sheetData sheetId="1"/>
      <sheetData sheetId="2"/>
      <sheetData sheetId="3"/>
      <sheetData sheetId="4"/>
      <sheetData sheetId="5"/>
      <sheetData sheetId="6"/>
      <sheetData sheetId="7"/>
      <sheetData sheetId="8"/>
      <sheetData sheetId="9">
        <row r="2">
          <cell r="N2">
            <v>0.64583333333333337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 val="[97pbth.xls][97pbth.xls]_tmp__2"/>
      <sheetName val="[97pbth.xls][97pbth.xls]_E_tm_2"/>
      <sheetName val="[97pbth.xls][97pbth.xls]_tmp__3"/>
      <sheetName val="[97pbth.xls][97pbth.xls]_E_tm_3"/>
      <sheetName val="[97pbth.xls][97pbth.xls]_tmp__4"/>
      <sheetName val="[97pbth.xls][97pbth.xls]_E_tm_4"/>
      <sheetName val="[97pbth.xls][97pbth.xls]_tmp__5"/>
      <sheetName val="[97pbth.xls][97pbth.xls]_E_tm_5"/>
      <sheetName val="[97pbth.xls][97pbth.xls]_tmp__6"/>
      <sheetName val="[97pbth.xls][97pbth.xls]_E_tm_6"/>
      <sheetName val="[97pbth.xls][97pbth.xls]_tmp__7"/>
      <sheetName val="[97pbth.xls][97pbth.xls]_E_tm_7"/>
      <sheetName val="[97pbth.xls][97pbth.xls]_tmp__8"/>
      <sheetName val="[97pbth.xls][97pbth.xls]_E_tm_8"/>
      <sheetName val="[97pbth.xls][97pbth.xls]_tmp__9"/>
      <sheetName val="[97pbth.xls][97pbth.xls]_E_tm_9"/>
      <sheetName val="[97pbth.xls][97pbth.xls]_tmp_11"/>
      <sheetName val="[97pbth.xls][97pbth.xls]_E_t_11"/>
      <sheetName val="[97pbth.xls][97pbth.xls]_tmp_10"/>
      <sheetName val="[97pbth.xls][97pbth.xls]_E_t_10"/>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showGridLines="0" topLeftCell="A19" zoomScale="90" zoomScaleNormal="90" workbookViewId="0">
      <selection activeCell="D37" sqref="D37"/>
    </sheetView>
  </sheetViews>
  <sheetFormatPr defaultColWidth="0" defaultRowHeight="0" customHeight="1" zeroHeight="1"/>
  <cols>
    <col min="1" max="1" width="3.7109375" style="1" customWidth="1"/>
    <col min="2" max="2" width="15.28515625" style="1" customWidth="1"/>
    <col min="3" max="3" width="17.28515625" style="1" customWidth="1"/>
    <col min="4" max="4" width="28.5703125" style="1" customWidth="1"/>
    <col min="5" max="5" width="12.7109375" style="1" customWidth="1"/>
    <col min="6" max="6" width="47.28515625" style="1" customWidth="1"/>
    <col min="7" max="7" width="21.42578125" style="1" customWidth="1"/>
    <col min="8" max="8" width="6.5703125" style="1" customWidth="1"/>
    <col min="9" max="9" width="2.5703125" style="1" customWidth="1"/>
    <col min="10" max="16384" width="11.42578125" style="1" hidden="1"/>
  </cols>
  <sheetData>
    <row r="1" spans="1:8" ht="13.5" thickBot="1"/>
    <row r="2" spans="1:8" ht="73.5" customHeight="1">
      <c r="A2" s="1" t="e">
        <f ca="1">+A2:H15E15A2:H13A2:H19E15A2:H13A2:H26E15A2:H13A2A2:H35</f>
        <v>#NAME?</v>
      </c>
      <c r="B2" s="218" t="s">
        <v>0</v>
      </c>
      <c r="C2" s="219"/>
      <c r="D2" s="219"/>
      <c r="E2" s="219"/>
      <c r="F2" s="219"/>
      <c r="G2" s="219"/>
      <c r="H2" s="220"/>
    </row>
    <row r="3" spans="1:8" ht="12.75">
      <c r="B3" s="35"/>
      <c r="H3" s="36"/>
    </row>
    <row r="4" spans="1:8" ht="12.75">
      <c r="B4" s="35"/>
      <c r="H4" s="36"/>
    </row>
    <row r="5" spans="1:8" ht="12.75">
      <c r="B5" s="37"/>
      <c r="C5" s="2"/>
      <c r="D5" s="2"/>
      <c r="E5" s="2"/>
      <c r="F5" s="2"/>
      <c r="G5" s="2"/>
      <c r="H5" s="38"/>
    </row>
    <row r="6" spans="1:8" ht="65.25" customHeight="1">
      <c r="B6" s="221" t="s">
        <v>1</v>
      </c>
      <c r="C6" s="222"/>
      <c r="D6" s="222"/>
      <c r="E6" s="222"/>
      <c r="F6" s="222"/>
      <c r="G6" s="222"/>
      <c r="H6" s="223"/>
    </row>
    <row r="7" spans="1:8" ht="74.25" customHeight="1">
      <c r="B7" s="221"/>
      <c r="C7" s="222"/>
      <c r="D7" s="222"/>
      <c r="E7" s="222"/>
      <c r="F7" s="222"/>
      <c r="G7" s="222"/>
      <c r="H7" s="223"/>
    </row>
    <row r="8" spans="1:8" ht="21.75" customHeight="1">
      <c r="B8" s="224" t="s">
        <v>2</v>
      </c>
      <c r="C8" s="225"/>
      <c r="D8" s="225"/>
      <c r="E8" s="225"/>
      <c r="F8" s="225"/>
      <c r="G8" s="225"/>
      <c r="H8" s="226"/>
    </row>
    <row r="9" spans="1:8" ht="42" customHeight="1">
      <c r="B9" s="192" t="s">
        <v>3</v>
      </c>
      <c r="C9" s="193"/>
      <c r="D9" s="193"/>
      <c r="E9" s="193"/>
      <c r="F9" s="193"/>
      <c r="G9" s="193"/>
      <c r="H9" s="194"/>
    </row>
    <row r="10" spans="1:8" ht="43.5" customHeight="1">
      <c r="B10" s="192"/>
      <c r="C10" s="193"/>
      <c r="D10" s="193"/>
      <c r="E10" s="193"/>
      <c r="F10" s="193"/>
      <c r="G10" s="193"/>
      <c r="H10" s="194"/>
    </row>
    <row r="11" spans="1:8" ht="12.75" customHeight="1" thickBot="1">
      <c r="B11" s="35"/>
      <c r="D11" s="3"/>
      <c r="E11" s="4"/>
      <c r="F11" s="4"/>
      <c r="G11" s="5"/>
      <c r="H11" s="36"/>
    </row>
    <row r="12" spans="1:8" ht="21" customHeight="1" thickTop="1">
      <c r="B12" s="35"/>
      <c r="C12" s="207" t="s">
        <v>4</v>
      </c>
      <c r="D12" s="208"/>
      <c r="E12" s="195" t="s">
        <v>5</v>
      </c>
      <c r="F12" s="196"/>
      <c r="H12" s="36"/>
    </row>
    <row r="13" spans="1:8" ht="37.5" customHeight="1">
      <c r="B13" s="35"/>
      <c r="C13" s="205" t="s">
        <v>6</v>
      </c>
      <c r="D13" s="206"/>
      <c r="E13" s="197" t="s">
        <v>7</v>
      </c>
      <c r="F13" s="198"/>
      <c r="H13" s="36"/>
    </row>
    <row r="14" spans="1:8" ht="39.75" customHeight="1">
      <c r="B14" s="35"/>
      <c r="C14" s="203" t="s">
        <v>8</v>
      </c>
      <c r="D14" s="204"/>
      <c r="E14" s="201" t="s">
        <v>9</v>
      </c>
      <c r="F14" s="202"/>
      <c r="H14" s="36"/>
    </row>
    <row r="15" spans="1:8" ht="230.25" customHeight="1">
      <c r="B15" s="35"/>
      <c r="C15" s="203" t="s">
        <v>10</v>
      </c>
      <c r="D15" s="204"/>
      <c r="E15" s="201" t="s">
        <v>11</v>
      </c>
      <c r="F15" s="202"/>
      <c r="H15" s="36"/>
    </row>
    <row r="16" spans="1:8" ht="15.75" customHeight="1">
      <c r="B16" s="35"/>
      <c r="C16" s="229" t="s">
        <v>12</v>
      </c>
      <c r="D16" s="12" t="s">
        <v>13</v>
      </c>
      <c r="E16" s="201" t="s">
        <v>14</v>
      </c>
      <c r="F16" s="202"/>
      <c r="H16" s="36"/>
    </row>
    <row r="17" spans="2:8" ht="54" customHeight="1">
      <c r="B17" s="35"/>
      <c r="C17" s="230"/>
      <c r="D17" s="23" t="s">
        <v>15</v>
      </c>
      <c r="E17" s="209" t="s">
        <v>16</v>
      </c>
      <c r="F17" s="210"/>
      <c r="H17" s="36"/>
    </row>
    <row r="18" spans="2:8" ht="98.25" customHeight="1">
      <c r="B18" s="35"/>
      <c r="C18" s="230"/>
      <c r="D18" s="23" t="s">
        <v>17</v>
      </c>
      <c r="E18" s="209" t="s">
        <v>18</v>
      </c>
      <c r="F18" s="210"/>
      <c r="H18" s="36"/>
    </row>
    <row r="19" spans="2:8" ht="100.5" customHeight="1" thickBot="1">
      <c r="B19" s="35"/>
      <c r="C19" s="231" t="s">
        <v>19</v>
      </c>
      <c r="D19" s="232"/>
      <c r="E19" s="199" t="s">
        <v>20</v>
      </c>
      <c r="F19" s="200"/>
      <c r="H19" s="36"/>
    </row>
    <row r="20" spans="2:8" ht="19.5" customHeight="1" thickTop="1">
      <c r="B20" s="35"/>
      <c r="C20" s="6"/>
      <c r="D20" s="6"/>
      <c r="E20" s="7"/>
      <c r="F20" s="7"/>
      <c r="H20" s="36"/>
    </row>
    <row r="21" spans="2:8" ht="37.5" customHeight="1">
      <c r="B21" s="215" t="s">
        <v>21</v>
      </c>
      <c r="C21" s="216"/>
      <c r="D21" s="216"/>
      <c r="E21" s="216"/>
      <c r="F21" s="216"/>
      <c r="G21" s="216"/>
      <c r="H21" s="217"/>
    </row>
    <row r="22" spans="2:8" ht="27.75" customHeight="1">
      <c r="B22" s="35"/>
      <c r="H22" s="36"/>
    </row>
    <row r="23" spans="2:8" ht="27.75" customHeight="1">
      <c r="B23" s="35"/>
      <c r="C23" s="114" t="s">
        <v>22</v>
      </c>
      <c r="D23" s="233" t="s">
        <v>5</v>
      </c>
      <c r="E23" s="233"/>
      <c r="F23" s="233" t="s">
        <v>23</v>
      </c>
      <c r="G23" s="233"/>
      <c r="H23" s="36"/>
    </row>
    <row r="24" spans="2:8" ht="59.25" customHeight="1">
      <c r="B24" s="35"/>
      <c r="C24" s="60" t="s">
        <v>24</v>
      </c>
      <c r="D24" s="211" t="s">
        <v>25</v>
      </c>
      <c r="E24" s="211"/>
      <c r="F24" s="211" t="s">
        <v>26</v>
      </c>
      <c r="G24" s="211"/>
      <c r="H24" s="36"/>
    </row>
    <row r="25" spans="2:8" ht="53.25" customHeight="1">
      <c r="B25" s="35"/>
      <c r="C25" s="61" t="s">
        <v>27</v>
      </c>
      <c r="D25" s="211" t="s">
        <v>28</v>
      </c>
      <c r="E25" s="211"/>
      <c r="F25" s="211" t="s">
        <v>29</v>
      </c>
      <c r="G25" s="211"/>
      <c r="H25" s="36"/>
    </row>
    <row r="26" spans="2:8" ht="62.25" customHeight="1">
      <c r="B26" s="35"/>
      <c r="C26" s="62" t="s">
        <v>30</v>
      </c>
      <c r="D26" s="211" t="s">
        <v>31</v>
      </c>
      <c r="E26" s="211"/>
      <c r="F26" s="211" t="s">
        <v>32</v>
      </c>
      <c r="G26" s="211"/>
      <c r="H26" s="36"/>
    </row>
    <row r="27" spans="2:8" ht="70.5" customHeight="1">
      <c r="B27" s="35"/>
      <c r="C27" s="63" t="s">
        <v>33</v>
      </c>
      <c r="D27" s="211" t="s">
        <v>34</v>
      </c>
      <c r="E27" s="211"/>
      <c r="F27" s="211" t="s">
        <v>35</v>
      </c>
      <c r="G27" s="211"/>
      <c r="H27" s="36"/>
    </row>
    <row r="28" spans="2:8" ht="11.25" customHeight="1">
      <c r="B28" s="39"/>
      <c r="C28" s="34"/>
      <c r="D28" s="34"/>
      <c r="E28" s="34"/>
      <c r="F28" s="34"/>
      <c r="G28" s="34"/>
      <c r="H28" s="40"/>
    </row>
    <row r="29" spans="2:8" ht="14.25" customHeight="1">
      <c r="B29" s="115"/>
      <c r="C29" s="227"/>
      <c r="D29" s="227"/>
      <c r="E29" s="228"/>
      <c r="F29" s="228"/>
      <c r="G29" s="228"/>
      <c r="H29" s="116"/>
    </row>
    <row r="30" spans="2:8" ht="27.75" customHeight="1">
      <c r="B30" s="215" t="s">
        <v>36</v>
      </c>
      <c r="C30" s="216"/>
      <c r="D30" s="216"/>
      <c r="E30" s="216"/>
      <c r="F30" s="216"/>
      <c r="G30" s="216"/>
      <c r="H30" s="217"/>
    </row>
    <row r="31" spans="2:8" ht="13.5">
      <c r="B31" s="35"/>
      <c r="C31" s="8"/>
      <c r="D31" s="8"/>
      <c r="E31" s="649"/>
      <c r="F31" s="649"/>
      <c r="H31" s="36"/>
    </row>
    <row r="32" spans="2:8" ht="16.5">
      <c r="B32" s="212" t="s">
        <v>37</v>
      </c>
      <c r="C32" s="213"/>
      <c r="D32" s="213"/>
      <c r="E32" s="213"/>
      <c r="F32" s="213"/>
      <c r="G32" s="213"/>
      <c r="H32" s="214"/>
    </row>
    <row r="33" spans="2:8" ht="13.5" thickBot="1">
      <c r="B33" s="41"/>
      <c r="C33" s="42"/>
      <c r="D33" s="42"/>
      <c r="E33" s="42"/>
      <c r="F33" s="42"/>
      <c r="G33" s="42"/>
      <c r="H33" s="43"/>
    </row>
    <row r="34" spans="2:8" ht="12.75"/>
    <row r="35" spans="2:8" ht="29.25" customHeight="1"/>
    <row r="36" spans="2:8" ht="26.25" customHeight="1"/>
    <row r="37" spans="2:8" ht="43.5" customHeight="1"/>
    <row r="38" spans="2:8" ht="53.25" customHeight="1"/>
    <row r="39" spans="2:8" ht="12.75"/>
    <row r="40" spans="2:8" ht="12.75"/>
    <row r="41" spans="2:8" ht="12.75"/>
    <row r="42" spans="2:8" ht="12.75"/>
    <row r="43" spans="2:8" ht="12.75"/>
    <row r="44" spans="2:8" ht="12.75"/>
    <row r="45" spans="2:8" ht="12.75" customHeight="1"/>
    <row r="46" spans="2:8" ht="12.75" customHeight="1"/>
    <row r="47" spans="2:8" ht="12.75" customHeight="1"/>
    <row r="48" spans="2:8" ht="12.75" customHeight="1"/>
    <row r="49" ht="12.75" customHeight="1"/>
    <row r="50" ht="12.75" customHeight="1"/>
    <row r="51" ht="12.75" customHeight="1"/>
    <row r="52" ht="12.75" customHeight="1"/>
    <row r="53" ht="12.75" customHeight="1"/>
    <row r="54" ht="12.75" customHeight="1"/>
    <row r="55" ht="12.75" customHeight="1"/>
    <row r="56" ht="12.75" customHeight="1"/>
  </sheetData>
  <sheetProtection selectLockedCells="1" selectUnlockedCells="1"/>
  <mergeCells count="34">
    <mergeCell ref="B2:H2"/>
    <mergeCell ref="B6:H7"/>
    <mergeCell ref="B8:H8"/>
    <mergeCell ref="C29:D29"/>
    <mergeCell ref="E29:G29"/>
    <mergeCell ref="C15:D15"/>
    <mergeCell ref="C16:C18"/>
    <mergeCell ref="C19:D19"/>
    <mergeCell ref="E16:F16"/>
    <mergeCell ref="D24:E24"/>
    <mergeCell ref="D23:E23"/>
    <mergeCell ref="F26:G26"/>
    <mergeCell ref="F27:G27"/>
    <mergeCell ref="F23:G23"/>
    <mergeCell ref="D27:E27"/>
    <mergeCell ref="F24:G24"/>
    <mergeCell ref="F25:G25"/>
    <mergeCell ref="D25:E25"/>
    <mergeCell ref="B32:H32"/>
    <mergeCell ref="E18:F18"/>
    <mergeCell ref="B21:H21"/>
    <mergeCell ref="E31:F31"/>
    <mergeCell ref="D26:E26"/>
    <mergeCell ref="B30:H30"/>
    <mergeCell ref="B9:H10"/>
    <mergeCell ref="E12:F12"/>
    <mergeCell ref="E13:F13"/>
    <mergeCell ref="E19:F19"/>
    <mergeCell ref="E15:F15"/>
    <mergeCell ref="C14:D14"/>
    <mergeCell ref="C13:D13"/>
    <mergeCell ref="C12:D12"/>
    <mergeCell ref="E14:F14"/>
    <mergeCell ref="E17:F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82"/>
  <sheetViews>
    <sheetView workbookViewId="0"/>
  </sheetViews>
  <sheetFormatPr defaultColWidth="11.42578125" defaultRowHeight="12.75"/>
  <cols>
    <col min="2" max="4" width="22.28515625" customWidth="1"/>
    <col min="5" max="5" width="34.5703125" customWidth="1"/>
    <col min="6" max="6" width="36.42578125" bestFit="1" customWidth="1"/>
    <col min="8" max="8" width="12.28515625" bestFit="1" customWidth="1"/>
    <col min="9" max="9" width="12.7109375" customWidth="1"/>
    <col min="13" max="14" width="17.5703125" customWidth="1"/>
  </cols>
  <sheetData>
    <row r="1" spans="1:19" ht="81.75" customHeight="1">
      <c r="A1" s="122" t="s">
        <v>111</v>
      </c>
      <c r="B1" s="122" t="s">
        <v>608</v>
      </c>
      <c r="C1" s="121" t="s">
        <v>609</v>
      </c>
      <c r="D1" s="121" t="s">
        <v>610</v>
      </c>
      <c r="E1" s="121" t="s">
        <v>611</v>
      </c>
      <c r="F1" s="122" t="s">
        <v>161</v>
      </c>
      <c r="G1" s="120" t="s">
        <v>612</v>
      </c>
      <c r="H1" s="120" t="s">
        <v>613</v>
      </c>
      <c r="I1" s="120" t="s">
        <v>614</v>
      </c>
      <c r="J1" s="120" t="s">
        <v>80</v>
      </c>
      <c r="K1" s="120" t="s">
        <v>89</v>
      </c>
      <c r="L1" s="120" t="s">
        <v>615</v>
      </c>
      <c r="M1" s="45" t="s">
        <v>616</v>
      </c>
      <c r="N1" s="45"/>
    </row>
    <row r="2" spans="1:19" ht="12.75" customHeight="1">
      <c r="A2" s="111" t="s">
        <v>617</v>
      </c>
      <c r="B2" s="111" t="str">
        <f>+LEFT(A2,1)</f>
        <v>1</v>
      </c>
      <c r="C2" s="111" t="str">
        <f>+MID(VLOOKUP(A2,'Ambiente de Control'!$B$21:$C$235,2,0),4,LEN(VLOOKUP(A2,'Ambiente de Control'!$B$21:$C$235,2,0))-4)</f>
        <v xml:space="preserve"> Aplicación del Código de Integridad. (incluye análisis de desviaciones, convivencia laboral, temas disciplinarios internos, quejas o denuncias sobres los servidores de la entidad, u otros temas relacionados)</v>
      </c>
      <c r="D2" s="111" t="s">
        <v>618</v>
      </c>
      <c r="E2" s="111" t="str">
        <f>+VLOOKUP(A2,'Ambiente de Control'!$B$21:$D$235,3,0)</f>
        <v>Dimensión Talento Humano
Política Integridad</v>
      </c>
      <c r="F2" s="111" t="str">
        <f>+VLOOKUP(A2,'Ambiente de Control'!$B$21:$K$235,10,0)</f>
        <v>Deficiencia de control (diseño o ejecución)</v>
      </c>
      <c r="G2" s="111">
        <f>+VLOOKUP(A2,'Ambiente de Control'!$B$21:$O$39,13)</f>
        <v>20.045870000000001</v>
      </c>
      <c r="H2" s="113">
        <f>+_xlfn.RANK.EQ(G2,$G$2:$G$82,1)</f>
        <v>1</v>
      </c>
      <c r="I2" s="111" t="str">
        <f t="shared" ref="I2:I33" si="0">+IF(F2=$F$2,$P$4,IF(F2=$F$3,$P$2,$P$3))</f>
        <v>Cuando en el análisis de los requerimientos en los diferenes componentes del MECI se cuente con aspectos evaluados en nivel 1 (presente) y 1 (funcionando); 2 (presente) y 1 (funcionando).</v>
      </c>
      <c r="J2" s="111" t="s">
        <v>619</v>
      </c>
      <c r="K2" s="111">
        <f>+IF(ISBLANK(VLOOKUP(A2,'Ambiente de Control'!$B$24:$F$235,5,0)),"",VLOOKUP(A2,'Ambiente de Control'!$B$24:$F$235,5,0))</f>
        <v>3</v>
      </c>
      <c r="L2" s="111">
        <f>+IF(ISBLANK(VLOOKUP(A2,'Ambiente de Control'!$B$24:$K$235,9,0)),"",VLOOKUP(A2,'Ambiente de Control'!$B$24:$K$235,9,0))</f>
        <v>2</v>
      </c>
      <c r="M2" s="111">
        <f t="shared" ref="M2" si="1">+IF(OR(AND(K2=1,L2=1),AND(ISBLANK(K2),ISBLANK(L2)),K2="",L2=""),0,IF(OR(AND(K2=1,L2=2),AND(K2=1,L2=3)),0.25,IF(OR(AND(K2=2,L2=2),AND(K2=3,L2=1),AND(K2=3,L2=2),AND(K2=2,L2=1)),0.5,IF(AND(K2=2,L2=3),0.75,1))))</f>
        <v>0.5</v>
      </c>
      <c r="N2" s="111">
        <f>+AVERAGEIF($D$2:$D$82,D2,$M$2:$M$82)</f>
        <v>0.83333333333333337</v>
      </c>
      <c r="O2" s="109" t="s">
        <v>27</v>
      </c>
      <c r="P2" s="110" t="s">
        <v>620</v>
      </c>
      <c r="Q2" s="110"/>
      <c r="R2" s="111"/>
      <c r="S2" s="111"/>
    </row>
    <row r="3" spans="1:19" ht="12.75" customHeight="1">
      <c r="A3" s="111" t="s">
        <v>621</v>
      </c>
      <c r="B3" s="111" t="str">
        <f t="shared" ref="B3:B42" si="2">+LEFT(A3,1)</f>
        <v>1</v>
      </c>
      <c r="C3" s="111" t="str">
        <f>+MID(VLOOKUP(A3,'Ambiente de Control'!$B$21:$C$235,2,0),4,LEN(VLOOKUP(A3,'Ambiente de Control'!$B$21:$C$235,2,0))-4)</f>
        <v xml:space="preserve"> Mecanismos para el manejo de conflictos de interés.</v>
      </c>
      <c r="D3" s="111" t="s">
        <v>618</v>
      </c>
      <c r="E3" s="111" t="str">
        <f>+VLOOKUP(A3,'Ambiente de Control'!$B$21:$D$235,3,0)</f>
        <v>Dimensión Talento Humano
Política Integridad</v>
      </c>
      <c r="F3" s="111" t="str">
        <f>+VLOOKUP(A3,'Ambiente de Control'!$B$21:$K$235,10,0)</f>
        <v>Mantenimiento del control</v>
      </c>
      <c r="G3" s="111">
        <f>+VLOOKUP(A3,'Ambiente de Control'!$B$21:$O$235,13,0)</f>
        <v>60.055689999999998</v>
      </c>
      <c r="H3" s="113">
        <f t="shared" ref="H3:H70" si="3">+_xlfn.RANK.EQ(G3,$G$2:$G$82,1)</f>
        <v>9</v>
      </c>
      <c r="I3" s="111" t="str">
        <f t="shared" si="0"/>
        <v>Cuando en el análisis de los requerimientos en los diferenes componentes del MECI se cuente con aspectos evaluados en nivel 2 (presente) y 3 (funcionando).</v>
      </c>
      <c r="J3" s="111" t="s">
        <v>619</v>
      </c>
      <c r="K3" s="111">
        <f>+IF(ISBLANK(VLOOKUP(A3,'Ambiente de Control'!$B$24:$F$235,5,0)),"",VLOOKUP(A3,'Ambiente de Control'!$B$24:$F$235,5,0))</f>
        <v>3</v>
      </c>
      <c r="L3" s="111">
        <f>+IF(ISBLANK(VLOOKUP(A3,'Ambiente de Control'!$B$24:$K$235,9,0)),"",VLOOKUP(A3,'Ambiente de Control'!$B$24:$K$235,9,0))</f>
        <v>3</v>
      </c>
      <c r="M3" s="111">
        <f>+IF(OR(AND(K3=1,L3=1),AND(ISBLANK(K3),ISBLANK(L3)),K3="",L3=""),0,IF(OR(AND(K3=1,L3=2),AND(K3=1,L3=3)),0.25,IF(OR(AND(K3=2,L3=2),AND(K3=3,L3=1),AND(K3=3,L3=2),AND(K3=2,L3=1)),0.5,IF(AND(K3=2,L3=3),0.75,1))))</f>
        <v>1</v>
      </c>
      <c r="N3" s="111">
        <f t="shared" ref="N3:N70" si="4">+AVERAGEIF($D$2:$D$82,D3,$M$2:$M$82)</f>
        <v>0.83333333333333337</v>
      </c>
      <c r="O3" s="112" t="s">
        <v>30</v>
      </c>
      <c r="P3" s="110" t="s">
        <v>622</v>
      </c>
      <c r="Q3" s="110"/>
      <c r="R3" s="111" t="s">
        <v>623</v>
      </c>
      <c r="S3" s="111"/>
    </row>
    <row r="4" spans="1:19" ht="16.5" customHeight="1">
      <c r="A4" s="111" t="s">
        <v>624</v>
      </c>
      <c r="B4" s="111" t="str">
        <f t="shared" si="2"/>
        <v>1</v>
      </c>
      <c r="C4" s="111" t="str">
        <f>+MID(VLOOKUP(A4,'Ambiente de Control'!$B$21:$C$235,2,0),4,LEN(VLOOKUP(A4,'Ambiente de Control'!$B$21:$C$235,2,0))-4)</f>
        <v xml:space="preserve"> Mecanismos frente a la detección y prevención del uso inadecuado de información privilegiada u otras situaciones que puedan implicar riesgos para la entidad</v>
      </c>
      <c r="D4" s="111" t="s">
        <v>618</v>
      </c>
      <c r="E4" s="111" t="str">
        <f>+VLOOKUP(A4,'Ambiente de Control'!$B$21:$D$235,3,0)</f>
        <v>Dimensión Información y Comunicación
Política Transparencia y Acceso a la Información Pública
Política Gestión Documental</v>
      </c>
      <c r="F4" s="111" t="str">
        <f>+VLOOKUP(A4,'Ambiente de Control'!$B$21:$K$235,10,0)</f>
        <v>Mantenimiento del control</v>
      </c>
      <c r="G4" s="111">
        <f>+VLOOKUP(A4,'Ambiente de Control'!$B$21:$O$235,13,0)</f>
        <v>60.066896</v>
      </c>
      <c r="H4" s="113">
        <f t="shared" si="3"/>
        <v>10</v>
      </c>
      <c r="I4" s="111" t="str">
        <f t="shared" si="0"/>
        <v>Cuando en el análisis de los requerimientos en los diferenes componentes del MECI se cuente con aspectos evaluados en nivel 2 (presente) y 3 (funcionando).</v>
      </c>
      <c r="J4" s="111" t="s">
        <v>619</v>
      </c>
      <c r="K4" s="111">
        <f>+IF(ISBLANK(VLOOKUP(A4,'Ambiente de Control'!$B$24:$F$235,5,0)),"",VLOOKUP(A4,'Ambiente de Control'!$B$24:$F$235,5,0))</f>
        <v>3</v>
      </c>
      <c r="L4" s="111">
        <f>+IF(ISBLANK(VLOOKUP(A4,'Ambiente de Control'!$B$24:$K$235,9,0)),"",VLOOKUP(A4,'Ambiente de Control'!$B$24:$K$235,9,0))</f>
        <v>3</v>
      </c>
      <c r="M4" s="111">
        <f t="shared" ref="M4:M67" si="5">+IF(OR(AND(K4=1,L4=1),AND(ISBLANK(K4),ISBLANK(L4)),K4="",L4=""),0,IF(OR(AND(K4=1,L4=2),AND(K4=1,L4=3)),0.25,IF(OR(AND(K4=2,L4=2),AND(K4=3,L4=1),AND(K4=3,L4=2),AND(K4=2,L4=1)),0.5,IF(AND(K4=2,L4=3),0.75,1))))</f>
        <v>1</v>
      </c>
      <c r="N4" s="111">
        <f t="shared" si="4"/>
        <v>0.83333333333333337</v>
      </c>
      <c r="O4" s="112" t="s">
        <v>33</v>
      </c>
      <c r="P4" s="110" t="s">
        <v>625</v>
      </c>
      <c r="Q4" s="110"/>
      <c r="R4" s="111"/>
      <c r="S4" s="111"/>
    </row>
    <row r="5" spans="1:19">
      <c r="A5" s="111" t="s">
        <v>626</v>
      </c>
      <c r="B5" s="111" t="str">
        <f t="shared" si="2"/>
        <v>1</v>
      </c>
      <c r="C5" s="111" t="str">
        <f>+MID(VLOOKUP(A5,'Ambiente de Control'!$B$21:$C$235,2,0),4,LEN(VLOOKUP(A5,'Ambiente de Control'!$B$21:$C$235,2,0))-4)</f>
        <v xml:space="preserve"> La evaluación de las acciones transversales de integridad, mediante el monitoreo permanente de los riesgos de corrupción.</v>
      </c>
      <c r="D5" s="111" t="s">
        <v>618</v>
      </c>
      <c r="E5" s="111" t="str">
        <f>+VLOOKUP(A5,'Ambiente de Control'!$B$21:$D$235,3,0)</f>
        <v>Dimension Talento Humano
Politica de Integridad</v>
      </c>
      <c r="F5" s="111" t="str">
        <f>+VLOOKUP(A5,'Ambiente de Control'!$B$21:$K$235,10,0)</f>
        <v>Mantenimiento del control</v>
      </c>
      <c r="G5" s="111">
        <f>+VLOOKUP(A5,'Ambiente de Control'!$B$21:$O$235,13,0)</f>
        <v>60.06691</v>
      </c>
      <c r="H5" s="113">
        <f t="shared" si="3"/>
        <v>11</v>
      </c>
      <c r="I5" s="111" t="str">
        <f t="shared" si="0"/>
        <v>Cuando en el análisis de los requerimientos en los diferenes componentes del MECI se cuente con aspectos evaluados en nivel 2 (presente) y 3 (funcionando).</v>
      </c>
      <c r="J5" s="111" t="s">
        <v>619</v>
      </c>
      <c r="K5" s="111">
        <f>+IF(ISBLANK(VLOOKUP(A5,'Ambiente de Control'!$B$24:$F$235,5,0)),"",VLOOKUP(A5,'Ambiente de Control'!$B$24:$F$235,5,0))</f>
        <v>3</v>
      </c>
      <c r="L5" s="111">
        <f>+IF(ISBLANK(VLOOKUP(A5,'Ambiente de Control'!$B$24:$K$235,9,0)),"",VLOOKUP(A5,'Ambiente de Control'!$B$24:$K$235,9,0))</f>
        <v>3</v>
      </c>
      <c r="M5" s="111">
        <f t="shared" si="5"/>
        <v>1</v>
      </c>
      <c r="N5" s="111">
        <f t="shared" si="4"/>
        <v>0.83333333333333337</v>
      </c>
      <c r="O5" s="111"/>
      <c r="P5" s="111"/>
    </row>
    <row r="6" spans="1:19">
      <c r="A6" s="111" t="s">
        <v>627</v>
      </c>
      <c r="B6" s="111" t="str">
        <f t="shared" si="2"/>
        <v>1</v>
      </c>
      <c r="C6" s="111" t="str">
        <f>+MID(VLOOKUP(A6,'Ambiente de Control'!$B$21:$C$235,2,0),4,LEN(VLOOKUP(A6,'Ambiente de Control'!$B$21:$C$235,2,0))-4)</f>
        <v xml:space="preserve">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v>
      </c>
      <c r="D6" s="111" t="s">
        <v>618</v>
      </c>
      <c r="E6" s="111" t="str">
        <f>+VLOOKUP(A6,'Ambiente de Control'!$B$21:$D$235,3,0)</f>
        <v>Dimensión Direccionamiento Estratégico y Planeación
Plan Anticorrupción y de Atención al Ciudadano</v>
      </c>
      <c r="F6" s="111" t="str">
        <f>+VLOOKUP(A6,'Ambiente de Control'!$B$21:$K$235,10,0)</f>
        <v>Mantenimiento del control</v>
      </c>
      <c r="G6" s="111">
        <f>+VLOOKUP(A6,'Ambiente de Control'!$B$21:$O$235,13,0)</f>
        <v>60.073568999999999</v>
      </c>
      <c r="H6" s="113">
        <f t="shared" si="3"/>
        <v>12</v>
      </c>
      <c r="I6" s="111" t="str">
        <f t="shared" si="0"/>
        <v>Cuando en el análisis de los requerimientos en los diferenes componentes del MECI se cuente con aspectos evaluados en nivel 2 (presente) y 3 (funcionando).</v>
      </c>
      <c r="J6" s="111" t="s">
        <v>619</v>
      </c>
      <c r="K6" s="111">
        <f>+IF(ISBLANK(VLOOKUP(A6,'Ambiente de Control'!$B$24:$F$235,5,0)),"",VLOOKUP(A6,'Ambiente de Control'!$B$24:$F$235,5,0))</f>
        <v>3</v>
      </c>
      <c r="L6" s="111">
        <f>+IF(ISBLANK(VLOOKUP(A6,'Ambiente de Control'!$B$24:$K$235,9,0)),"",VLOOKUP(A6,'Ambiente de Control'!$B$24:$K$235,9,0))</f>
        <v>3</v>
      </c>
      <c r="M6" s="111">
        <f t="shared" si="5"/>
        <v>1</v>
      </c>
      <c r="N6" s="111">
        <f t="shared" si="4"/>
        <v>0.83333333333333337</v>
      </c>
      <c r="O6" s="111"/>
      <c r="P6" s="111"/>
    </row>
    <row r="7" spans="1:19">
      <c r="A7" s="111" t="s">
        <v>628</v>
      </c>
      <c r="B7" s="111" t="str">
        <f t="shared" si="2"/>
        <v>2</v>
      </c>
      <c r="C7" s="111" t="str">
        <f>+MID(VLOOKUP(A7,'Ambiente de Control'!$B$21:$C$235,2,0),4,LEN(VLOOKUP(A7,'Ambiente de Control'!$B$21:$C$235,2,0))-4)</f>
        <v xml:space="preserve"> Creación o actualización del Comité Institucional de Coordinación de Control Interno (incluye ajustes en periodicidad para reunión, articulación con el Comité Institucioanl de Gestión y Desempeño)</v>
      </c>
      <c r="D7" s="111" t="s">
        <v>618</v>
      </c>
      <c r="E7" s="111" t="str">
        <f>+VLOOKUP(A7,'Ambiente de Control'!$B$21:$D$235,3,0)</f>
        <v>Dimension Control Interno
Politica de Control Interno</v>
      </c>
      <c r="F7" s="111" t="str">
        <f>+VLOOKUP(A7,'Ambiente de Control'!$B$21:$K$235,10,0)</f>
        <v>Mantenimiento del control</v>
      </c>
      <c r="G7" s="111">
        <f>+VLOOKUP(A7,'Ambiente de Control'!$B$21:$O$235,13,0)</f>
        <v>60.088965299999998</v>
      </c>
      <c r="H7" s="113">
        <f t="shared" si="3"/>
        <v>13</v>
      </c>
      <c r="I7" s="111" t="str">
        <f t="shared" si="0"/>
        <v>Cuando en el análisis de los requerimientos en los diferenes componentes del MECI se cuente con aspectos evaluados en nivel 2 (presente) y 3 (funcionando).</v>
      </c>
      <c r="J7" s="111" t="s">
        <v>629</v>
      </c>
      <c r="K7" s="111">
        <f>+IF(ISBLANK(VLOOKUP(A7,'Ambiente de Control'!$B$24:$F$235,5,0)),"",VLOOKUP(A7,'Ambiente de Control'!$B$24:$F$235,5,0))</f>
        <v>3</v>
      </c>
      <c r="L7" s="111">
        <f>+IF(ISBLANK(VLOOKUP(A7,'Ambiente de Control'!$B$24:$K$235,9,0)),"",VLOOKUP(A7,'Ambiente de Control'!$B$24:$K$235,9,0))</f>
        <v>3</v>
      </c>
      <c r="M7" s="111">
        <f t="shared" si="5"/>
        <v>1</v>
      </c>
      <c r="N7" s="111">
        <f t="shared" si="4"/>
        <v>0.83333333333333337</v>
      </c>
      <c r="O7" s="111"/>
      <c r="P7" s="111"/>
    </row>
    <row r="8" spans="1:19">
      <c r="A8" s="111" t="s">
        <v>630</v>
      </c>
      <c r="B8" s="111" t="str">
        <f t="shared" si="2"/>
        <v>2</v>
      </c>
      <c r="C8" s="111" t="str">
        <f>+MID(VLOOKUP(A8,'Ambiente de Control'!$B$21:$C$235,2,0),4,LEN(VLOOKUP(A8,'Ambiente de Control'!$B$21:$C$235,2,0))-4)</f>
        <v xml:space="preserve"> Definición y documentación del Esquema de Líneas de Defens</v>
      </c>
      <c r="D8" s="111" t="s">
        <v>618</v>
      </c>
      <c r="E8" s="111" t="str">
        <f>+VLOOKUP(A8,'Ambiente de Control'!$B$21:$D$235,3,0)</f>
        <v>Dimension Control Interno
Politica de Control Interno
Lineas de defensa</v>
      </c>
      <c r="F8" s="111" t="str">
        <f>+VLOOKUP(A8,'Ambiente de Control'!$B$21:$K$235,10,0)</f>
        <v>Deficiencia de control (diseño o ejecución)</v>
      </c>
      <c r="G8" s="111">
        <f>+VLOOKUP(A8,'Ambiente de Control'!$B$21:$O$235,13,0)</f>
        <v>20.0989653</v>
      </c>
      <c r="H8" s="113">
        <f t="shared" si="3"/>
        <v>2</v>
      </c>
      <c r="I8" s="111" t="str">
        <f t="shared" si="0"/>
        <v>Cuando en el análisis de los requerimientos en los diferenes componentes del MECI se cuente con aspectos evaluados en nivel 1 (presente) y 1 (funcionando); 2 (presente) y 1 (funcionando).</v>
      </c>
      <c r="J8" s="111" t="s">
        <v>629</v>
      </c>
      <c r="K8" s="111">
        <f>+IF(ISBLANK(VLOOKUP(A8,'Ambiente de Control'!$B$24:$F$235,5,0)),"",VLOOKUP(A8,'Ambiente de Control'!$B$24:$F$235,5,0))</f>
        <v>3</v>
      </c>
      <c r="L8" s="111">
        <f>+IF(ISBLANK(VLOOKUP(A8,'Ambiente de Control'!$B$24:$K$235,9,0)),"",VLOOKUP(A8,'Ambiente de Control'!$B$24:$K$235,9,0))</f>
        <v>2</v>
      </c>
      <c r="M8" s="111">
        <f t="shared" si="5"/>
        <v>0.5</v>
      </c>
      <c r="N8" s="111">
        <f t="shared" si="4"/>
        <v>0.83333333333333337</v>
      </c>
      <c r="O8" s="111"/>
      <c r="P8" s="111"/>
    </row>
    <row r="9" spans="1:19">
      <c r="A9" s="111" t="s">
        <v>631</v>
      </c>
      <c r="B9" s="111" t="str">
        <f t="shared" si="2"/>
        <v>2</v>
      </c>
      <c r="C9" s="111" t="str">
        <f>+MID(VLOOKUP(A9,'Ambiente de Control'!$B$21:$C$235,2,0),4,LEN(VLOOKUP(A9,'Ambiente de Control'!$B$21:$C$235,2,0))-4)</f>
        <v xml:space="preserve"> Definición de líneas de reporte en temas clave para la toma de decisiones, atendiendo el Esquema de Líneas de Defens</v>
      </c>
      <c r="D9" s="111" t="s">
        <v>618</v>
      </c>
      <c r="E9" s="111" t="str">
        <f>+VLOOKUP(A9,'Ambiente de Control'!$B$21:$D$235,3,0)</f>
        <v>Dimension Control Interno
Politica de Control Interno
Linea de Defensa
Dimension de Informaciòn y Comunicaciòn</v>
      </c>
      <c r="F9" s="111" t="str">
        <f>+VLOOKUP(A9,'Ambiente de Control'!$B$21:$K$235,10,0)</f>
        <v>Mantenimiento del control</v>
      </c>
      <c r="G9" s="111">
        <f>+VLOOKUP(A9,'Ambiente de Control'!$B$21:$O$235,13,0)</f>
        <v>60.156979999999997</v>
      </c>
      <c r="H9" s="113">
        <f t="shared" si="3"/>
        <v>14</v>
      </c>
      <c r="I9" s="111" t="str">
        <f t="shared" si="0"/>
        <v>Cuando en el análisis de los requerimientos en los diferenes componentes del MECI se cuente con aspectos evaluados en nivel 2 (presente) y 3 (funcionando).</v>
      </c>
      <c r="J9" s="111" t="s">
        <v>629</v>
      </c>
      <c r="K9" s="111">
        <f>+IF(ISBLANK(VLOOKUP(A9,'Ambiente de Control'!$B$24:$F$235,5,0)),"",VLOOKUP(A9,'Ambiente de Control'!$B$24:$F$235,5,0))</f>
        <v>3</v>
      </c>
      <c r="L9" s="111">
        <f>+IF(ISBLANK(VLOOKUP(A9,'Ambiente de Control'!$B$24:$K$235,9,0)),"",VLOOKUP(A9,'Ambiente de Control'!$B$24:$K$235,9,0))</f>
        <v>3</v>
      </c>
      <c r="M9" s="111">
        <f t="shared" si="5"/>
        <v>1</v>
      </c>
      <c r="N9" s="111">
        <f t="shared" si="4"/>
        <v>0.83333333333333337</v>
      </c>
      <c r="O9" s="111"/>
      <c r="P9" s="111"/>
    </row>
    <row r="10" spans="1:19">
      <c r="A10" s="111" t="s">
        <v>632</v>
      </c>
      <c r="B10" s="111" t="str">
        <f t="shared" si="2"/>
        <v>3</v>
      </c>
      <c r="C10" s="111" t="str">
        <f>+MID(VLOOKUP(A10,'Ambiente de Control'!$B$21:$C$235,2,0),4,LEN(VLOOKUP(A10,'Ambiente de Control'!$B$21:$C$235,2,0))-4)</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v>
      </c>
      <c r="D10" s="111" t="s">
        <v>618</v>
      </c>
      <c r="E10" s="111" t="str">
        <f>+VLOOKUP(A10,'Ambiente de Control'!$B$21:$D$235,3,0)</f>
        <v>Dimension de Direccionamiento Estrategico y Planeaciòn
Politica de Planeaciòn Institucional 
Dimension Control Interno</v>
      </c>
      <c r="F10" s="111" t="str">
        <f>+VLOOKUP(A10,'Ambiente de Control'!$B$21:$K$235,10,0)</f>
        <v>Deficiencia de control (diseño o ejecución)</v>
      </c>
      <c r="G10" s="111">
        <f>+VLOOKUP(A10,'Ambiente de Control'!$B$21:$O$235,13,0)</f>
        <v>20.289650000000002</v>
      </c>
      <c r="H10" s="113">
        <f t="shared" si="3"/>
        <v>3</v>
      </c>
      <c r="I10" s="111" t="str">
        <f t="shared" si="0"/>
        <v>Cuando en el análisis de los requerimientos en los diferenes componentes del MECI se cuente con aspectos evaluados en nivel 1 (presente) y 1 (funcionando); 2 (presente) y 1 (funcionando).</v>
      </c>
      <c r="J10" s="111" t="s">
        <v>633</v>
      </c>
      <c r="K10" s="111">
        <f>+IF(ISBLANK(VLOOKUP(A10,'Ambiente de Control'!$B$24:$F$235,5,0)),"",VLOOKUP(A10,'Ambiente de Control'!$B$24:$F$235,5,0))</f>
        <v>3</v>
      </c>
      <c r="L10" s="111">
        <f>+IF(ISBLANK(VLOOKUP(A10,'Ambiente de Control'!$B$24:$K$235,9,0)),"",VLOOKUP(A10,'Ambiente de Control'!$B$24:$K$235,9,0))</f>
        <v>2</v>
      </c>
      <c r="M10" s="111">
        <f t="shared" si="5"/>
        <v>0.5</v>
      </c>
      <c r="N10" s="111">
        <f t="shared" si="4"/>
        <v>0.83333333333333337</v>
      </c>
      <c r="O10" s="111"/>
      <c r="P10" s="111"/>
    </row>
    <row r="11" spans="1:19">
      <c r="A11" s="111" t="s">
        <v>634</v>
      </c>
      <c r="B11" s="111" t="str">
        <f t="shared" si="2"/>
        <v>3</v>
      </c>
      <c r="C11" s="111" t="str">
        <f>+MID(VLOOKUP(A11,'Ambiente de Control'!$B$21:$C$235,2,0),4,LEN(VLOOKUP(A11,'Ambiente de Control'!$B$21:$C$235,2,0))-4)</f>
        <v xml:space="preserve"> Evaluación de la planeación estratégica, considerando alertas frente a posibles incumplimientos, necesidades de recursos, cambios en el entorno que puedan afectar su desarrollo, entre otros aspectos que garanticen de forma razonable su cumplimiento</v>
      </c>
      <c r="D11" s="111" t="s">
        <v>618</v>
      </c>
      <c r="E11" s="111" t="str">
        <f>+VLOOKUP(A11,'Ambiente de Control'!$B$21:$D$235,3,0)</f>
        <v>Diimensiòn Evaluacion de Resultados 
Politica de Seguimiento y Evaluaciòn al Desemepeño Institucional
Dimension Control Interno
Lineas de defensa</v>
      </c>
      <c r="F11" s="111" t="str">
        <f>+VLOOKUP(A11,'Ambiente de Control'!$B$21:$K$235,10,0)</f>
        <v>Mantenimiento del control</v>
      </c>
      <c r="G11" s="111">
        <f>+VLOOKUP(A11,'Ambiente de Control'!$B$21:$O$235,13,0)</f>
        <v>60.489649999999997</v>
      </c>
      <c r="H11" s="113">
        <f t="shared" si="3"/>
        <v>15</v>
      </c>
      <c r="I11" s="111" t="str">
        <f t="shared" si="0"/>
        <v>Cuando en el análisis de los requerimientos en los diferenes componentes del MECI se cuente con aspectos evaluados en nivel 2 (presente) y 3 (funcionando).</v>
      </c>
      <c r="J11" s="111" t="s">
        <v>633</v>
      </c>
      <c r="K11" s="111">
        <f>+IF(ISBLANK(VLOOKUP(A11,'Ambiente de Control'!$B$24:$F$235,5,0)),"",VLOOKUP(A11,'Ambiente de Control'!$B$24:$F$235,5,0))</f>
        <v>3</v>
      </c>
      <c r="L11" s="111">
        <f>+IF(ISBLANK(VLOOKUP(A11,'Ambiente de Control'!$B$24:$K$235,9,0)),"",VLOOKUP(A11,'Ambiente de Control'!$B$24:$K$235,9,0))</f>
        <v>3</v>
      </c>
      <c r="M11" s="111">
        <f t="shared" si="5"/>
        <v>1</v>
      </c>
      <c r="N11" s="111">
        <f t="shared" si="4"/>
        <v>0.83333333333333337</v>
      </c>
      <c r="O11" s="111"/>
      <c r="P11" s="111"/>
    </row>
    <row r="12" spans="1:19">
      <c r="A12" s="111" t="s">
        <v>635</v>
      </c>
      <c r="B12" s="111" t="str">
        <f t="shared" si="2"/>
        <v>3</v>
      </c>
      <c r="C12" s="111" t="str">
        <f>+MID(VLOOKUP(A12,'Ambiente de Control'!$B$21:$C$235,2,0),4,LEN(VLOOKUP(A12,'Ambiente de Control'!$B$21:$C$235,2,0))-4)</f>
        <v xml:space="preserve"> La Alta Dirección frente a la política de Administración del Riesgo definen los niveles de aceptación del riesgo, teniendo en cuenta cada uno de los objetivos establecidos.</v>
      </c>
      <c r="D12" s="111" t="s">
        <v>618</v>
      </c>
      <c r="E12" s="111" t="str">
        <f>+VLOOKUP(A12,'Ambiente de Control'!$B$21:$D$235,3,0)</f>
        <v>Dimension Control Interno
Politica de Control Interno
Linea Estrategica</v>
      </c>
      <c r="F12" s="111" t="str">
        <f>+VLOOKUP(A12,'Ambiente de Control'!$B$21:$K$235,10,0)</f>
        <v>Deficiencia de control (diseño o ejecución)</v>
      </c>
      <c r="G12" s="111">
        <f>+VLOOKUP(A12,'Ambiente de Control'!$B$21:$O$235,13,0)</f>
        <v>20.389652999999999</v>
      </c>
      <c r="H12" s="113">
        <f t="shared" si="3"/>
        <v>4</v>
      </c>
      <c r="I12" s="111" t="str">
        <f t="shared" si="0"/>
        <v>Cuando en el análisis de los requerimientos en los diferenes componentes del MECI se cuente con aspectos evaluados en nivel 1 (presente) y 1 (funcionando); 2 (presente) y 1 (funcionando).</v>
      </c>
      <c r="J12" s="111" t="s">
        <v>633</v>
      </c>
      <c r="K12" s="111">
        <f>+IF(ISBLANK(VLOOKUP(A12,'Ambiente de Control'!$B$24:$F$235,5,0)),"",VLOOKUP(A12,'Ambiente de Control'!$B$24:$F$235,5,0))</f>
        <v>3</v>
      </c>
      <c r="L12" s="111">
        <f>+IF(ISBLANK(VLOOKUP(A12,'Ambiente de Control'!$B$24:$K$235,9,0)),"",VLOOKUP(A12,'Ambiente de Control'!$B$24:$K$235,9,0))</f>
        <v>2</v>
      </c>
      <c r="M12" s="111">
        <f t="shared" si="5"/>
        <v>0.5</v>
      </c>
      <c r="N12" s="111">
        <f t="shared" si="4"/>
        <v>0.83333333333333337</v>
      </c>
      <c r="O12" s="111"/>
      <c r="P12" s="111"/>
    </row>
    <row r="13" spans="1:19">
      <c r="A13" s="111" t="s">
        <v>636</v>
      </c>
      <c r="B13" s="111" t="str">
        <f t="shared" si="2"/>
        <v>4</v>
      </c>
      <c r="C13" s="111" t="str">
        <f>+MID(VLOOKUP(A13,'Ambiente de Control'!$B$21:$C$235,2,0),4,LEN(VLOOKUP(A13,'Ambiente de Control'!$B$21:$C$235,2,0))-4)</f>
        <v xml:space="preserve"> Evaluación de la Planeación Estratégica del Talento Humano</v>
      </c>
      <c r="D13" s="111" t="s">
        <v>618</v>
      </c>
      <c r="E13" s="111" t="str">
        <f>+VLOOKUP(A13,'Ambiente de Control'!$B$21:$D$235,3,0)</f>
        <v>Dimension de Talento Humano
Politica Gestion Estrategica del Talento Humano
Dimension de Control Interno
Lineas de Defensa</v>
      </c>
      <c r="F13" s="111" t="str">
        <f>+VLOOKUP(A13,'Ambiente de Control'!$B$21:$K$235,10,0)</f>
        <v>Mantenimiento del control</v>
      </c>
      <c r="G13" s="111">
        <f>+VLOOKUP(A13,'Ambiente de Control'!$B$21:$O$235,13,0)</f>
        <v>60.589649999999999</v>
      </c>
      <c r="H13" s="113">
        <f t="shared" si="3"/>
        <v>16</v>
      </c>
      <c r="I13" s="111" t="str">
        <f t="shared" si="0"/>
        <v>Cuando en el análisis de los requerimientos en los diferenes componentes del MECI se cuente con aspectos evaluados en nivel 2 (presente) y 3 (funcionando).</v>
      </c>
      <c r="J13" s="111" t="s">
        <v>637</v>
      </c>
      <c r="K13" s="111">
        <f>+IF(ISBLANK(VLOOKUP(A13,'Ambiente de Control'!$B$24:$F$235,5,0)),"",VLOOKUP(A13,'Ambiente de Control'!$B$24:$F$235,5,0))</f>
        <v>3</v>
      </c>
      <c r="L13" s="111">
        <f>+IF(ISBLANK(VLOOKUP(A13,'Ambiente de Control'!$B$24:$K$235,9,0)),"",VLOOKUP(A13,'Ambiente de Control'!$B$24:$K$235,9,0))</f>
        <v>3</v>
      </c>
      <c r="M13" s="111">
        <f t="shared" si="5"/>
        <v>1</v>
      </c>
      <c r="N13" s="111">
        <f t="shared" si="4"/>
        <v>0.83333333333333337</v>
      </c>
      <c r="O13" s="111"/>
      <c r="P13" s="111"/>
    </row>
    <row r="14" spans="1:19">
      <c r="A14" s="111" t="s">
        <v>638</v>
      </c>
      <c r="B14" s="111" t="str">
        <f t="shared" si="2"/>
        <v>4</v>
      </c>
      <c r="C14" s="111" t="str">
        <f>+MID(VLOOKUP(A14,'Ambiente de Control'!$B$21:$C$235,2,0),4,LEN(VLOOKUP(A14,'Ambiente de Control'!$B$21:$C$235,2,0))-4)</f>
        <v xml:space="preserve"> Evaluación de las actividades relacionadas con el Ingreso del personal</v>
      </c>
      <c r="D14" s="111" t="s">
        <v>618</v>
      </c>
      <c r="E14" s="111" t="str">
        <f>+VLOOKUP(A14,'Ambiente de Control'!$B$21:$D$235,3,0)</f>
        <v>Dimension de Talento Humano
Politica Gestion Estrategica del Talento Humano
Dimension de Control Interno
Lineas de Defensa</v>
      </c>
      <c r="F14" s="111" t="str">
        <f>+VLOOKUP(A14,'Ambiente de Control'!$B$21:$K$235,10,0)</f>
        <v>Deficiencia de control (diseño o ejecución)</v>
      </c>
      <c r="G14" s="111">
        <f>+VLOOKUP(A14,'Ambiente de Control'!$B$21:$O$235,13,0)</f>
        <v>20.68965</v>
      </c>
      <c r="H14" s="113">
        <f t="shared" si="3"/>
        <v>5</v>
      </c>
      <c r="I14" s="111" t="str">
        <f t="shared" si="0"/>
        <v>Cuando en el análisis de los requerimientos en los diferenes componentes del MECI se cuente con aspectos evaluados en nivel 1 (presente) y 1 (funcionando); 2 (presente) y 1 (funcionando).</v>
      </c>
      <c r="J14" s="111" t="s">
        <v>637</v>
      </c>
      <c r="K14" s="111">
        <f>+IF(ISBLANK(VLOOKUP(A14,'Ambiente de Control'!$B$24:$F$235,5,0)),"",VLOOKUP(A14,'Ambiente de Control'!$B$24:$F$235,5,0))</f>
        <v>3</v>
      </c>
      <c r="L14" s="111">
        <f>+IF(ISBLANK(VLOOKUP(A14,'Ambiente de Control'!$B$24:$K$235,9,0)),"",VLOOKUP(A14,'Ambiente de Control'!$B$24:$K$235,9,0))</f>
        <v>2</v>
      </c>
      <c r="M14" s="111">
        <f t="shared" si="5"/>
        <v>0.5</v>
      </c>
      <c r="N14" s="111">
        <f t="shared" si="4"/>
        <v>0.83333333333333337</v>
      </c>
      <c r="O14" s="111"/>
      <c r="P14" s="111"/>
    </row>
    <row r="15" spans="1:19">
      <c r="A15" s="111" t="s">
        <v>639</v>
      </c>
      <c r="B15" s="111" t="str">
        <f t="shared" si="2"/>
        <v>4</v>
      </c>
      <c r="C15" s="111" t="str">
        <f>+MID(VLOOKUP(A15,'Ambiente de Control'!$B$21:$C$235,2,0),4,LEN(VLOOKUP(A15,'Ambiente de Control'!$B$21:$C$235,2,0))-4)</f>
        <v xml:space="preserve"> Evaluación de las actividades relacionadas con la permanencia del personal</v>
      </c>
      <c r="D15" s="111" t="s">
        <v>618</v>
      </c>
      <c r="E15" s="111" t="str">
        <f>+VLOOKUP(A15,'Ambiente de Control'!$B$21:$D$235,3,0)</f>
        <v>Dimension de Talento Humano
Politica Gestion Estrategica del Talento Humano
Dimension de Control Interno
Lineas de Defensa</v>
      </c>
      <c r="F15" s="111" t="str">
        <f>+VLOOKUP(A15,'Ambiente de Control'!$B$21:$K$235,10,0)</f>
        <v>Deficiencia de control (diseño o ejecución)</v>
      </c>
      <c r="G15" s="111">
        <f>+VLOOKUP(A15,'Ambiente de Control'!$B$21:$O$235,13,0)</f>
        <v>20.789650000000002</v>
      </c>
      <c r="H15" s="113">
        <f t="shared" si="3"/>
        <v>6</v>
      </c>
      <c r="I15" s="111" t="str">
        <f t="shared" si="0"/>
        <v>Cuando en el análisis de los requerimientos en los diferenes componentes del MECI se cuente con aspectos evaluados en nivel 1 (presente) y 1 (funcionando); 2 (presente) y 1 (funcionando).</v>
      </c>
      <c r="J15" s="111" t="s">
        <v>637</v>
      </c>
      <c r="K15" s="111">
        <f>+IF(ISBLANK(VLOOKUP(A15,'Ambiente de Control'!$B$24:$F$235,5,0)),"",VLOOKUP(A15,'Ambiente de Control'!$B$24:$F$235,5,0))</f>
        <v>3</v>
      </c>
      <c r="L15" s="111">
        <f>+IF(ISBLANK(VLOOKUP(A15,'Ambiente de Control'!$B$24:$K$235,9,0)),"",VLOOKUP(A15,'Ambiente de Control'!$B$24:$K$235,9,0))</f>
        <v>2</v>
      </c>
      <c r="M15" s="111">
        <f t="shared" si="5"/>
        <v>0.5</v>
      </c>
      <c r="N15" s="111">
        <f t="shared" si="4"/>
        <v>0.83333333333333337</v>
      </c>
      <c r="O15" s="111"/>
      <c r="P15" s="111"/>
    </row>
    <row r="16" spans="1:19">
      <c r="A16" s="111" t="s">
        <v>640</v>
      </c>
      <c r="B16" s="111" t="str">
        <f t="shared" si="2"/>
        <v>4</v>
      </c>
      <c r="C16" s="111" t="str">
        <f>+MID(VLOOKUP(A16,'Ambiente de Control'!$B$21:$C$235,2,0),4,LEN(VLOOKUP(A16,'Ambiente de Control'!$B$21:$C$235,2,0))-4)</f>
        <v>Analizar si se cuenta con políticas claras y comunicadas relacionadas con la responsabilidad de cada servidor sobre el desarrollo y mantenimiento del control interno (1a línea de defensa</v>
      </c>
      <c r="D16" s="111" t="s">
        <v>618</v>
      </c>
      <c r="E16" s="111" t="str">
        <f>+VLOOKUP(A16,'Ambiente de Control'!$B$21:$D$235,3,0)</f>
        <v>Dimension de Talento Humano
Politica Gestion Estrategica del Talento Humano
Dimension de Control Interno
Lineas de Defensa</v>
      </c>
      <c r="F16" s="111" t="str">
        <f>+VLOOKUP(A16,'Ambiente de Control'!$B$21:$K$235,10,0)</f>
        <v>Mantenimiento del control</v>
      </c>
      <c r="G16" s="111">
        <f>+VLOOKUP(A16,'Ambiente de Control'!$B$21:$O$235,13,0)</f>
        <v>60.889650000000003</v>
      </c>
      <c r="H16" s="113">
        <f t="shared" si="3"/>
        <v>17</v>
      </c>
      <c r="I16" s="111" t="str">
        <f t="shared" si="0"/>
        <v>Cuando en el análisis de los requerimientos en los diferenes componentes del MECI se cuente con aspectos evaluados en nivel 2 (presente) y 3 (funcionando).</v>
      </c>
      <c r="J16" s="111" t="s">
        <v>637</v>
      </c>
      <c r="K16" s="111">
        <f>+IF(ISBLANK(VLOOKUP(A16,'Ambiente de Control'!$B$24:$F$235,5,0)),"",VLOOKUP(A16,'Ambiente de Control'!$B$24:$F$235,5,0))</f>
        <v>3</v>
      </c>
      <c r="L16" s="111">
        <f>+IF(ISBLANK(VLOOKUP(A16,'Ambiente de Control'!$B$24:$K$235,9,0)),"",VLOOKUP(A16,'Ambiente de Control'!$B$24:$K$235,9,0))</f>
        <v>3</v>
      </c>
      <c r="M16" s="111">
        <f t="shared" si="5"/>
        <v>1</v>
      </c>
      <c r="N16" s="111">
        <f t="shared" si="4"/>
        <v>0.83333333333333337</v>
      </c>
      <c r="O16" s="111"/>
      <c r="P16" s="111"/>
    </row>
    <row r="17" spans="1:16">
      <c r="A17" s="111" t="s">
        <v>641</v>
      </c>
      <c r="B17" s="111" t="str">
        <f t="shared" si="2"/>
        <v>4</v>
      </c>
      <c r="C17" s="111" t="str">
        <f>+MID(VLOOKUP(A17,'Ambiente de Control'!$B$21:$C$235,2,0),4,LEN(VLOOKUP(A17,'Ambiente de Control'!$B$21:$C$235,2,0))-4)</f>
        <v xml:space="preserve"> Evaluación de las actividades relacionadas con el retiro del personal</v>
      </c>
      <c r="D17" s="111" t="s">
        <v>618</v>
      </c>
      <c r="E17" s="111" t="str">
        <f>+VLOOKUP(A17,'Ambiente de Control'!$B$21:$D$235,3,0)</f>
        <v>Dimension de Talento Humano
Politica Gestion Estrategica del Talento Humano
Dimension de Control Interno
Lineas de Defensa</v>
      </c>
      <c r="F17" s="111" t="str">
        <f>+VLOOKUP(A17,'Ambiente de Control'!$B$21:$K$235,10,0)</f>
        <v>Deficiencia de control (diseño o ejecución)</v>
      </c>
      <c r="G17" s="111">
        <f>+VLOOKUP(A17,'Ambiente de Control'!$B$21:$O$235,13,0)</f>
        <v>20.989650000000001</v>
      </c>
      <c r="H17" s="113">
        <f t="shared" si="3"/>
        <v>7</v>
      </c>
      <c r="I17" s="111" t="str">
        <f t="shared" si="0"/>
        <v>Cuando en el análisis de los requerimientos en los diferenes componentes del MECI se cuente con aspectos evaluados en nivel 1 (presente) y 1 (funcionando); 2 (presente) y 1 (funcionando).</v>
      </c>
      <c r="J17" s="111" t="s">
        <v>637</v>
      </c>
      <c r="K17" s="111">
        <f>+IF(ISBLANK(VLOOKUP(A17,'Ambiente de Control'!$B$24:$F$235,5,0)),"",VLOOKUP(A17,'Ambiente de Control'!$B$24:$F$235,5,0))</f>
        <v>3</v>
      </c>
      <c r="L17" s="111">
        <f>+IF(ISBLANK(VLOOKUP(A17,'Ambiente de Control'!$B$24:$K$235,9,0)),"",VLOOKUP(A17,'Ambiente de Control'!$B$24:$K$235,9,0))</f>
        <v>2</v>
      </c>
      <c r="M17" s="111">
        <f t="shared" si="5"/>
        <v>0.5</v>
      </c>
      <c r="N17" s="111">
        <f t="shared" si="4"/>
        <v>0.83333333333333337</v>
      </c>
      <c r="O17" s="111"/>
      <c r="P17" s="111"/>
    </row>
    <row r="18" spans="1:16">
      <c r="A18" s="111" t="s">
        <v>642</v>
      </c>
      <c r="B18" s="111" t="str">
        <f t="shared" si="2"/>
        <v>4</v>
      </c>
      <c r="C18" s="111" t="str">
        <f>+MID(VLOOKUP(A18,'Ambiente de Control'!$B$21:$C$235,2,0),4,LEN(VLOOKUP(A18,'Ambiente de Control'!$B$21:$C$235,2,0))-4)</f>
        <v xml:space="preserve"> Evaluar el impacto del Plan Institucional de Capacitación - PI</v>
      </c>
      <c r="D18" s="111" t="s">
        <v>618</v>
      </c>
      <c r="E18" s="111" t="str">
        <f>+VLOOKUP(A18,'Ambiente de Control'!$B$21:$D$235,3,0)</f>
        <v>Dimension de Talento Humano
Politica Gestion Estrategica del Talento Humano
Dimension de Control Interno
Lineas de Defensa</v>
      </c>
      <c r="F18" s="111" t="str">
        <f>+VLOOKUP(A18,'Ambiente de Control'!$B$21:$K$235,10,0)</f>
        <v>Mantenimiento del control</v>
      </c>
      <c r="G18" s="111">
        <f>+VLOOKUP(A18,'Ambiente de Control'!$B$21:$O$235,13,0)</f>
        <v>60.989652</v>
      </c>
      <c r="H18" s="113">
        <f t="shared" si="3"/>
        <v>18</v>
      </c>
      <c r="I18" s="111" t="str">
        <f t="shared" si="0"/>
        <v>Cuando en el análisis de los requerimientos en los diferenes componentes del MECI se cuente con aspectos evaluados en nivel 2 (presente) y 3 (funcionando).</v>
      </c>
      <c r="J18" s="111" t="s">
        <v>637</v>
      </c>
      <c r="K18" s="111">
        <f>+IF(ISBLANK(VLOOKUP(A18,'Ambiente de Control'!$B$24:$F$235,5,0)),"",VLOOKUP(A18,'Ambiente de Control'!$B$24:$F$235,5,0))</f>
        <v>3</v>
      </c>
      <c r="L18" s="111">
        <f>+IF(ISBLANK(VLOOKUP(A18,'Ambiente de Control'!$B$24:$K$235,9,0)),"",VLOOKUP(A18,'Ambiente de Control'!$B$24:$K$235,9,0))</f>
        <v>3</v>
      </c>
      <c r="M18" s="111">
        <f t="shared" si="5"/>
        <v>1</v>
      </c>
      <c r="N18" s="111">
        <f t="shared" si="4"/>
        <v>0.83333333333333337</v>
      </c>
      <c r="O18" s="111"/>
      <c r="P18" s="111"/>
    </row>
    <row r="19" spans="1:16">
      <c r="A19" s="111" t="s">
        <v>643</v>
      </c>
      <c r="B19" s="111" t="str">
        <f t="shared" si="2"/>
        <v>4</v>
      </c>
      <c r="C19" s="111" t="str">
        <f>+MID(VLOOKUP(A19,'Ambiente de Control'!$B$21:$C$235,2,0),4,LEN(VLOOKUP(A19,'Ambiente de Control'!$B$21:$C$235,2,0))-4)</f>
        <v xml:space="preserve"> Evaluación frente a los productos y servicios en los cuales participan los contratistas de apoyo</v>
      </c>
      <c r="D19" s="111" t="s">
        <v>618</v>
      </c>
      <c r="E19" s="111" t="str">
        <f>+VLOOKUP(A19,'Ambiente de Control'!$B$21:$D$235,3,0)</f>
        <v>Dimension de Talento Humano
Politica Gestion Estrategica del Talento Humano
Dimension de Control Interno
Lineas de Defensa</v>
      </c>
      <c r="F19" s="111" t="str">
        <f>+VLOOKUP(A19,'Ambiente de Control'!$B$21:$K$235,10,0)</f>
        <v>Mantenimiento del control</v>
      </c>
      <c r="G19" s="111">
        <f>+VLOOKUP(A19,'Ambiente de Control'!$B$21:$O$235,13,0)</f>
        <v>61.896230000000003</v>
      </c>
      <c r="H19" s="113">
        <f t="shared" ref="H19" si="6">+_xlfn.RANK.EQ(G19,$G$2:$G$82,1)</f>
        <v>24</v>
      </c>
      <c r="I19" s="111" t="str">
        <f t="shared" si="0"/>
        <v>Cuando en el análisis de los requerimientos en los diferenes componentes del MECI se cuente con aspectos evaluados en nivel 2 (presente) y 3 (funcionando).</v>
      </c>
      <c r="J19" s="111" t="s">
        <v>637</v>
      </c>
      <c r="K19" s="111">
        <f>+IF(ISBLANK(VLOOKUP(A19,'Ambiente de Control'!$B$24:$F$235,5,0)),"",VLOOKUP(A19,'Ambiente de Control'!$B$24:$F$235,5,0))</f>
        <v>3</v>
      </c>
      <c r="L19" s="111">
        <f>+IF(ISBLANK(VLOOKUP(A19,'Ambiente de Control'!$B$24:$K$235,9,0)),"",VLOOKUP(A19,'Ambiente de Control'!$B$24:$K$235,9,0))</f>
        <v>3</v>
      </c>
      <c r="M19" s="111">
        <f t="shared" si="5"/>
        <v>1</v>
      </c>
      <c r="N19" s="111">
        <f t="shared" ref="N19" si="7">+AVERAGEIF($D$2:$D$82,D19,$M$2:$M$82)</f>
        <v>0.83333333333333337</v>
      </c>
      <c r="O19" s="111"/>
      <c r="P19" s="111"/>
    </row>
    <row r="20" spans="1:16">
      <c r="A20" s="111" t="s">
        <v>644</v>
      </c>
      <c r="B20" s="111" t="str">
        <f t="shared" si="2"/>
        <v>5</v>
      </c>
      <c r="C20" s="111" t="str">
        <f>+MID(VLOOKUP(A20,'Ambiente de Control'!$B$21:$C$235,2,0),4,LEN(VLOOKUP(A20,'Ambiente de Control'!$B$21:$C$235,2,0))-4)</f>
        <v xml:space="preserve"> Acorde con la estructura del Esquema de Líneas de Defensa se han definido estándares de reporte, periodicidad y responsables frente a diferentes temas críticos de la entidad</v>
      </c>
      <c r="D20" s="111" t="s">
        <v>618</v>
      </c>
      <c r="E20" s="111" t="str">
        <f>+VLOOKUP(A20,'Ambiente de Control'!$B$21:$D$235,3,0)</f>
        <v>Dimension de Informaciòn y Comunicaciòn
Dimensiòn de Control Interno
Lineas de Defensa</v>
      </c>
      <c r="F20" s="111" t="str">
        <f>+VLOOKUP(A20,'Ambiente de Control'!$B$21:$K$235,10,0)</f>
        <v>Deficiencia de control (diseño o ejecución)</v>
      </c>
      <c r="G20" s="111">
        <f>+VLOOKUP(A20,'Ambiente de Control'!$B$21:$O$235,13,0)</f>
        <v>21.189599999999999</v>
      </c>
      <c r="H20" s="113">
        <f t="shared" si="3"/>
        <v>8</v>
      </c>
      <c r="I20" s="111" t="str">
        <f t="shared" si="0"/>
        <v>Cuando en el análisis de los requerimientos en los diferenes componentes del MECI se cuente con aspectos evaluados en nivel 1 (presente) y 1 (funcionando); 2 (presente) y 1 (funcionando).</v>
      </c>
      <c r="J20" s="111" t="s">
        <v>645</v>
      </c>
      <c r="K20" s="111">
        <f>+IF(ISBLANK(VLOOKUP(A20,'Ambiente de Control'!$B$24:$F$235,5,0)),"",VLOOKUP(A20,'Ambiente de Control'!$B$24:$F$235,5,0))</f>
        <v>3</v>
      </c>
      <c r="L20" s="111">
        <f>+IF(ISBLANK(VLOOKUP(A20,'Ambiente de Control'!$B$24:$K$235,9,0)),"",VLOOKUP(A20,'Ambiente de Control'!$B$24:$K$235,9,0))</f>
        <v>2</v>
      </c>
      <c r="M20" s="111">
        <f t="shared" si="5"/>
        <v>0.5</v>
      </c>
      <c r="N20" s="111">
        <f t="shared" si="4"/>
        <v>0.83333333333333337</v>
      </c>
      <c r="O20" s="111"/>
      <c r="P20" s="111"/>
    </row>
    <row r="21" spans="1:16">
      <c r="A21" s="111" t="s">
        <v>646</v>
      </c>
      <c r="B21" s="111" t="str">
        <f t="shared" si="2"/>
        <v>5</v>
      </c>
      <c r="C21" s="111" t="str">
        <f>+MID(VLOOKUP(A21,'Ambiente de Control'!$B$21:$C$235,2,0),4,LEN(VLOOKUP(A21,'Ambiente de Control'!$B$21:$C$235,2,0))-4)</f>
        <v xml:space="preserve"> La Alta Dirección analiza la información asociada con la generación de reportes financieros</v>
      </c>
      <c r="D21" s="111" t="s">
        <v>618</v>
      </c>
      <c r="E21" s="111" t="str">
        <f>+VLOOKUP(A21,'Ambiente de Control'!$B$21:$D$235,3,0)</f>
        <v xml:space="preserve">
Dimensiòn de Control Interno
Linea de Estrategica</v>
      </c>
      <c r="F21" s="111" t="str">
        <f>+VLOOKUP(A21,'Ambiente de Control'!$B$21:$K$235,10,0)</f>
        <v>Mantenimiento del control</v>
      </c>
      <c r="G21" s="111">
        <f>+VLOOKUP(A21,'Ambiente de Control'!$B$21:$O$235,13,0)</f>
        <v>61.289650000000002</v>
      </c>
      <c r="H21" s="113">
        <f t="shared" si="3"/>
        <v>19</v>
      </c>
      <c r="I21" s="111" t="str">
        <f t="shared" si="0"/>
        <v>Cuando en el análisis de los requerimientos en los diferenes componentes del MECI se cuente con aspectos evaluados en nivel 2 (presente) y 3 (funcionando).</v>
      </c>
      <c r="J21" s="111" t="s">
        <v>645</v>
      </c>
      <c r="K21" s="111">
        <f>+IF(ISBLANK(VLOOKUP(A21,'Ambiente de Control'!$B$24:$F$235,5,0)),"",VLOOKUP(A21,'Ambiente de Control'!$B$24:$F$235,5,0))</f>
        <v>3</v>
      </c>
      <c r="L21" s="111">
        <f>+IF(ISBLANK(VLOOKUP(A21,'Ambiente de Control'!$B$24:$K$235,9,0)),"",VLOOKUP(A21,'Ambiente de Control'!$B$24:$K$235,9,0))</f>
        <v>3</v>
      </c>
      <c r="M21" s="111">
        <f t="shared" si="5"/>
        <v>1</v>
      </c>
      <c r="N21" s="111">
        <f t="shared" si="4"/>
        <v>0.83333333333333337</v>
      </c>
      <c r="O21" s="111"/>
      <c r="P21" s="111"/>
    </row>
    <row r="22" spans="1:16">
      <c r="A22" s="111" t="s">
        <v>647</v>
      </c>
      <c r="B22" s="111" t="str">
        <f t="shared" si="2"/>
        <v>5</v>
      </c>
      <c r="C22" s="111" t="str">
        <f>+MID(VLOOKUP(A22,'Ambiente de Control'!$B$21:$C$235,2,0),4,LEN(VLOOKUP(A22,'Ambiente de Control'!$B$21:$C$235,2,0))-4)</f>
        <v xml:space="preserve"> Teniendo en cuenta la información suministrada por la 2a y 3a línea de defensa se toman decisiones a tiempo para garantizar el cumplimiento de las metas y objetivos</v>
      </c>
      <c r="D22" s="111" t="s">
        <v>618</v>
      </c>
      <c r="E22" s="111" t="str">
        <f>+VLOOKUP(A22,'Ambiente de Control'!$B$21:$D$235,3,0)</f>
        <v>Dimensiòn de Control Interno
Lineas de Defensa</v>
      </c>
      <c r="F22" s="111" t="str">
        <f>+VLOOKUP(A22,'Ambiente de Control'!$B$21:$K$235,10,0)</f>
        <v>Mantenimiento del control</v>
      </c>
      <c r="G22" s="111">
        <f>+VLOOKUP(A22,'Ambiente de Control'!$B$21:$O$235,13,0)</f>
        <v>61.389629999999997</v>
      </c>
      <c r="H22" s="113">
        <f t="shared" si="3"/>
        <v>20</v>
      </c>
      <c r="I22" s="111" t="str">
        <f t="shared" si="0"/>
        <v>Cuando en el análisis de los requerimientos en los diferenes componentes del MECI se cuente con aspectos evaluados en nivel 2 (presente) y 3 (funcionando).</v>
      </c>
      <c r="J22" s="111" t="s">
        <v>645</v>
      </c>
      <c r="K22" s="111">
        <f>+IF(ISBLANK(VLOOKUP(A22,'Ambiente de Control'!$B$24:$F$235,5,0)),"",VLOOKUP(A22,'Ambiente de Control'!$B$24:$F$235,5,0))</f>
        <v>3</v>
      </c>
      <c r="L22" s="111">
        <f>+IF(ISBLANK(VLOOKUP(A22,'Ambiente de Control'!$B$24:$K$235,9,0)),"",VLOOKUP(A22,'Ambiente de Control'!$B$24:$K$235,9,0))</f>
        <v>3</v>
      </c>
      <c r="M22" s="111">
        <f t="shared" si="5"/>
        <v>1</v>
      </c>
      <c r="N22" s="111">
        <f t="shared" si="4"/>
        <v>0.83333333333333337</v>
      </c>
      <c r="O22" s="111"/>
      <c r="P22" s="111"/>
    </row>
    <row r="23" spans="1:16">
      <c r="A23" s="111" t="s">
        <v>648</v>
      </c>
      <c r="B23" s="111" t="str">
        <f t="shared" si="2"/>
        <v>5</v>
      </c>
      <c r="C23" s="111" t="str">
        <f>+MID(VLOOKUP(A23,'Ambiente de Control'!$B$21:$C$235,2,0),4,LEN(VLOOKUP(A23,'Ambiente de Control'!$B$21:$C$235,2,0))-4)</f>
        <v xml:space="preserve"> Se evalúa la estructura de control a partir de los cambios en procesos, procedimientos, u otras herramientas, a fin de garantizar su adecuada formulación y afectación frente a la gestión del riesgo</v>
      </c>
      <c r="D23" s="111" t="s">
        <v>618</v>
      </c>
      <c r="E23" s="111" t="str">
        <f>+VLOOKUP(A23,'Ambiente de Control'!$B$21:$D$235,3,0)</f>
        <v>Dimension de Gestion con Valores para Resultado
Politica de Fortalecimiento Organizacional y Simplificaciòn de Procesos
Dimension Control Interno
Lineas de Defensa</v>
      </c>
      <c r="F23" s="111" t="str">
        <f>+VLOOKUP(A23,'Ambiente de Control'!$B$21:$K$235,10,0)</f>
        <v>Mantenimiento del control</v>
      </c>
      <c r="G23" s="111">
        <f>+VLOOKUP(A23,'Ambiente de Control'!$B$21:$O$235,13,0)</f>
        <v>61.489629999999998</v>
      </c>
      <c r="H23" s="113">
        <f t="shared" si="3"/>
        <v>21</v>
      </c>
      <c r="I23" s="111" t="str">
        <f t="shared" si="0"/>
        <v>Cuando en el análisis de los requerimientos en los diferenes componentes del MECI se cuente con aspectos evaluados en nivel 2 (presente) y 3 (funcionando).</v>
      </c>
      <c r="J23" s="111" t="s">
        <v>645</v>
      </c>
      <c r="K23" s="111">
        <f>+IF(ISBLANK(VLOOKUP(A23,'Ambiente de Control'!$B$24:$F$235,5,0)),"",VLOOKUP(A23,'Ambiente de Control'!$B$24:$F$235,5,0))</f>
        <v>3</v>
      </c>
      <c r="L23" s="111">
        <f>+IF(ISBLANK(VLOOKUP(A23,'Ambiente de Control'!$B$24:$K$235,9,0)),"",VLOOKUP(A23,'Ambiente de Control'!$B$24:$K$235,9,0))</f>
        <v>3</v>
      </c>
      <c r="M23" s="111">
        <f t="shared" si="5"/>
        <v>1</v>
      </c>
      <c r="N23" s="111">
        <f t="shared" si="4"/>
        <v>0.83333333333333337</v>
      </c>
      <c r="O23" s="111"/>
      <c r="P23" s="111"/>
    </row>
    <row r="24" spans="1:16">
      <c r="A24" s="111" t="s">
        <v>649</v>
      </c>
      <c r="B24" s="111" t="str">
        <f t="shared" si="2"/>
        <v>5</v>
      </c>
      <c r="C24" s="111" t="str">
        <f>+MID(VLOOKUP(A24,'Ambiente de Control'!$B$21:$C$235,2,0),4,LEN(VLOOKUP(A24,'Ambiente de Control'!$B$21:$C$235,2,0))-4)</f>
        <v xml:space="preserve"> La entidad aprueba y hace seguimiento al Plan Anual de Auditoría presentado y ejecutado por parte de la Oficina de Control Interno</v>
      </c>
      <c r="D24" s="111" t="s">
        <v>618</v>
      </c>
      <c r="E24" s="111" t="str">
        <f>+VLOOKUP(A24,'Ambiente de Control'!$B$21:$D$235,3,0)</f>
        <v>Dimension Control Interno
Linea Estrategica</v>
      </c>
      <c r="F24" s="111" t="str">
        <f>+VLOOKUP(A24,'Ambiente de Control'!$B$21:$K$235,10,0)</f>
        <v>Mantenimiento del control</v>
      </c>
      <c r="G24" s="111">
        <f>+VLOOKUP(A24,'Ambiente de Control'!$B$21:$O$235,13,0)</f>
        <v>61.589649999999999</v>
      </c>
      <c r="H24" s="113">
        <f t="shared" si="3"/>
        <v>22</v>
      </c>
      <c r="I24" s="111" t="str">
        <f t="shared" si="0"/>
        <v>Cuando en el análisis de los requerimientos en los diferenes componentes del MECI se cuente con aspectos evaluados en nivel 2 (presente) y 3 (funcionando).</v>
      </c>
      <c r="J24" s="111" t="s">
        <v>645</v>
      </c>
      <c r="K24" s="111">
        <f>+IF(ISBLANK(VLOOKUP(A24,'Ambiente de Control'!$B$24:$F$235,5,0)),"",VLOOKUP(A24,'Ambiente de Control'!$B$24:$F$235,5,0))</f>
        <v>3</v>
      </c>
      <c r="L24" s="111">
        <f>+IF(ISBLANK(VLOOKUP(A24,'Ambiente de Control'!$B$24:$K$235,9,0)),"",VLOOKUP(A24,'Ambiente de Control'!$B$24:$K$235,9,0))</f>
        <v>3</v>
      </c>
      <c r="M24" s="111">
        <f t="shared" si="5"/>
        <v>1</v>
      </c>
      <c r="N24" s="111">
        <f t="shared" si="4"/>
        <v>0.83333333333333337</v>
      </c>
      <c r="O24" s="111"/>
      <c r="P24" s="111"/>
    </row>
    <row r="25" spans="1:16">
      <c r="A25" s="111" t="s">
        <v>650</v>
      </c>
      <c r="B25" s="111" t="str">
        <f t="shared" si="2"/>
        <v>5</v>
      </c>
      <c r="C25" s="111" t="str">
        <f>+MID(VLOOKUP(A25,'Ambiente de Control'!$B$21:$C$235,2,0),4,LEN(VLOOKUP(A25,'Ambiente de Control'!$B$21:$C$235,2,0))-4)</f>
        <v xml:space="preserve"> La entidad analiza los informes presentados por la Oficina de Control Interno y evalúa su impacto en relación con la mejora institucional</v>
      </c>
      <c r="D25" s="111" t="s">
        <v>618</v>
      </c>
      <c r="E25" s="111" t="str">
        <f>+VLOOKUP(A25,'Ambiente de Control'!$B$21:$D$235,3,0)</f>
        <v>Dimension Control Interno
Linea Estrategica</v>
      </c>
      <c r="F25" s="111" t="str">
        <f>+VLOOKUP(A25,'Ambiente de Control'!$B$21:$K$235,10,0)</f>
        <v>Mantenimiento del control</v>
      </c>
      <c r="G25" s="111">
        <f>+VLOOKUP(A25,'Ambiente de Control'!$B$21:$O$235,13,0)</f>
        <v>61.689653</v>
      </c>
      <c r="H25" s="113">
        <f t="shared" si="3"/>
        <v>23</v>
      </c>
      <c r="I25" s="111" t="str">
        <f t="shared" si="0"/>
        <v>Cuando en el análisis de los requerimientos en los diferenes componentes del MECI se cuente con aspectos evaluados en nivel 2 (presente) y 3 (funcionando).</v>
      </c>
      <c r="J25" s="111" t="s">
        <v>645</v>
      </c>
      <c r="K25" s="111">
        <f>+IF(ISBLANK(VLOOKUP(A25,'Ambiente de Control'!$B$24:$F$235,5,0)),"",VLOOKUP(A25,'Ambiente de Control'!$B$24:$F$235,5,0))</f>
        <v>3</v>
      </c>
      <c r="L25" s="111">
        <f>+IF(ISBLANK(VLOOKUP(A25,'Ambiente de Control'!$B$24:$K$235,9,0)),"",VLOOKUP(A25,'Ambiente de Control'!$B$24:$K$235,9,0))</f>
        <v>3</v>
      </c>
      <c r="M25" s="111">
        <f t="shared" si="5"/>
        <v>1</v>
      </c>
      <c r="N25" s="111">
        <f t="shared" si="4"/>
        <v>0.83333333333333337</v>
      </c>
      <c r="O25" s="111"/>
      <c r="P25" s="111"/>
    </row>
    <row r="26" spans="1:16">
      <c r="A26" s="111" t="s">
        <v>651</v>
      </c>
      <c r="B26" s="111" t="str">
        <f t="shared" si="2"/>
        <v>6</v>
      </c>
      <c r="C26" s="111" t="str">
        <f>+MID(VLOOKUP(A26,'Evaluación de riesgos'!$B$13:$C$160,2,0),4,LEN(VLOOKUP(A26,'Evaluación de riesgos'!$B$13:$C$160,2,0))-4)</f>
        <v xml:space="preserve">  La Entidad cuenta con mecanismos para vincular o relacionar el plan estratégico con los objetivos estratégicos y estos a su vez con los objetivos operativos</v>
      </c>
      <c r="D26" s="111" t="s">
        <v>596</v>
      </c>
      <c r="E26" s="111" t="str">
        <f>+VLOOKUP(A26,'Evaluación de riesgos'!$B$13:$K$160,3,0)</f>
        <v>Dimension de Direccionamiento Estratetegico y Planeacion.
Politica de Planeacion Institucional</v>
      </c>
      <c r="F26" s="111" t="str">
        <f>+VLOOKUP(A26,'Evaluación de riesgos'!$B$13:$K$160,10,0)</f>
        <v>Mantenimiento del control</v>
      </c>
      <c r="G26" s="111">
        <f>+VLOOKUP(A26,'Evaluación de riesgos'!$B$13:$O$160,13,0)</f>
        <v>141.78960000000001</v>
      </c>
      <c r="H26" s="113">
        <f t="shared" si="3"/>
        <v>30</v>
      </c>
      <c r="I26" s="111" t="str">
        <f t="shared" si="0"/>
        <v>Cuando en el análisis de los requerimientos en los diferenes componentes del MECI se cuente con aspectos evaluados en nivel 2 (presente) y 3 (funcionando).</v>
      </c>
      <c r="J26" s="111" t="s">
        <v>652</v>
      </c>
      <c r="K26" s="111">
        <f>+IF(ISBLANK(VLOOKUP(A26,'Evaluación de riesgos'!$B$16:$F$160,5,0)),"",VLOOKUP(A26,'Evaluación de riesgos'!$B$16:$F$160,5,0))</f>
        <v>3</v>
      </c>
      <c r="L26" s="111">
        <f>+IF(ISBLANK(VLOOKUP(A26,'Evaluación de riesgos'!$B$16:$J$160,9,9)),"",VLOOKUP(A26,'Evaluación de riesgos'!$B$16:$J$160,9,9))</f>
        <v>3</v>
      </c>
      <c r="M26" s="111">
        <f t="shared" si="5"/>
        <v>1</v>
      </c>
      <c r="N26" s="111">
        <f t="shared" si="4"/>
        <v>0.8529411764705882</v>
      </c>
      <c r="O26" s="111"/>
      <c r="P26" s="111"/>
    </row>
    <row r="27" spans="1:16">
      <c r="A27" s="111" t="s">
        <v>653</v>
      </c>
      <c r="B27" s="111" t="str">
        <f t="shared" si="2"/>
        <v>6</v>
      </c>
      <c r="C27" s="111" t="str">
        <f>+MID(VLOOKUP(A27,'Evaluación de riesgos'!$B$13:$C$160,2,0),4,LEN(VLOOKUP(A27,'Evaluación de riesgos'!$B$13:$C$160,2,0))-4)</f>
        <v xml:space="preserve"> Los objetivos de los procesos, programas o proyectos (según aplique) que están definidos, son específicos, medibles, alcanzables, relevantes, delimitados en el tiempo</v>
      </c>
      <c r="D27" s="111" t="s">
        <v>596</v>
      </c>
      <c r="E27" s="111" t="str">
        <f>+VLOOKUP(A27,'Evaluación de riesgos'!$B$13:$K$160,3,0)</f>
        <v>Dimension de Gestion con Valores para Resultado
Politica de Fortalecimiento Organizacional y Simplificaciòn de Procesos</v>
      </c>
      <c r="F27" s="111" t="str">
        <f>+VLOOKUP(A27,'Evaluación de riesgos'!$B$13:$K$160,10,0)</f>
        <v>Deficiencia de control (diseño o ejecución)</v>
      </c>
      <c r="G27" s="111">
        <f>+VLOOKUP(A27,'Evaluación de riesgos'!$B$13:$O$160,13,0)</f>
        <v>101.8896</v>
      </c>
      <c r="H27" s="113">
        <f t="shared" si="3"/>
        <v>25</v>
      </c>
      <c r="I27" s="111" t="str">
        <f t="shared" si="0"/>
        <v>Cuando en el análisis de los requerimientos en los diferenes componentes del MECI se cuente con aspectos evaluados en nivel 1 (presente) y 1 (funcionando); 2 (presente) y 1 (funcionando).</v>
      </c>
      <c r="J27" s="111" t="s">
        <v>652</v>
      </c>
      <c r="K27" s="111">
        <f>+IF(ISBLANK(VLOOKUP(A27,'Evaluación de riesgos'!$B$16:$F$160,5,0)),"",VLOOKUP(A27,'Evaluación de riesgos'!$B$16:$F$160,5,0))</f>
        <v>3</v>
      </c>
      <c r="L27" s="111">
        <f>+IF(ISBLANK(VLOOKUP(A27,'Evaluación de riesgos'!$B$16:$J$160,9,9)),"",VLOOKUP(A27,'Evaluación de riesgos'!$B$16:$J$160,9,9))</f>
        <v>2</v>
      </c>
      <c r="M27" s="111">
        <f t="shared" si="5"/>
        <v>0.5</v>
      </c>
      <c r="N27" s="111">
        <f t="shared" si="4"/>
        <v>0.8529411764705882</v>
      </c>
      <c r="O27" s="111"/>
      <c r="P27" s="111"/>
    </row>
    <row r="28" spans="1:16">
      <c r="A28" s="111" t="s">
        <v>654</v>
      </c>
      <c r="B28" s="111" t="str">
        <f t="shared" si="2"/>
        <v>6</v>
      </c>
      <c r="C28" s="111" t="str">
        <f>+MID(VLOOKUP(A28,'Evaluación de riesgos'!$B$13:$C$160,2,0),4,LEN(VLOOKUP(A28,'Evaluación de riesgos'!$B$13:$C$160,2,0))-4)</f>
        <v xml:space="preserve"> La Alta Dirección evalúa periódicamente los objetivos establecidos para asegurar que estos continúan siendo consistentes y apropiados para la Entidad</v>
      </c>
      <c r="D28" s="111" t="s">
        <v>596</v>
      </c>
      <c r="E28" s="111" t="str">
        <f>+VLOOKUP(A28,'Evaluación de riesgos'!$B$13:$K$160,3,0)</f>
        <v>Dimension de Direccionamiento Estratetegico y Planeacion.
Politica de Planeacion Institucional
Dimension Control Interno
Linea Estrategica</v>
      </c>
      <c r="F28" s="111" t="str">
        <f>+VLOOKUP(A28,'Evaluación de riesgos'!$B$13:$K$160,10,0)</f>
        <v>Mantenimiento del control</v>
      </c>
      <c r="G28" s="111">
        <f>+VLOOKUP(A28,'Evaluación de riesgos'!$B$13:$O$160,13,0)</f>
        <v>141.97540000000001</v>
      </c>
      <c r="H28" s="113">
        <f t="shared" si="3"/>
        <v>31</v>
      </c>
      <c r="I28" s="111" t="str">
        <f t="shared" si="0"/>
        <v>Cuando en el análisis de los requerimientos en los diferenes componentes del MECI se cuente con aspectos evaluados en nivel 2 (presente) y 3 (funcionando).</v>
      </c>
      <c r="J28" s="111" t="s">
        <v>652</v>
      </c>
      <c r="K28" s="111">
        <f>+IF(ISBLANK(VLOOKUP(A28,'Evaluación de riesgos'!$B$16:$F$160,5,0)),"",VLOOKUP(A28,'Evaluación de riesgos'!$B$16:$F$160,5,0))</f>
        <v>3</v>
      </c>
      <c r="L28" s="111">
        <f>+IF(ISBLANK(VLOOKUP(A28,'Evaluación de riesgos'!$B$16:$J$160,9,9)),"",VLOOKUP(A28,'Evaluación de riesgos'!$B$16:$J$160,9,9))</f>
        <v>3</v>
      </c>
      <c r="M28" s="111">
        <f t="shared" si="5"/>
        <v>1</v>
      </c>
      <c r="N28" s="111">
        <f t="shared" si="4"/>
        <v>0.8529411764705882</v>
      </c>
      <c r="O28" s="111"/>
      <c r="P28" s="111"/>
    </row>
    <row r="29" spans="1:16">
      <c r="A29" s="111" t="s">
        <v>655</v>
      </c>
      <c r="B29" s="111" t="str">
        <f t="shared" si="2"/>
        <v>7</v>
      </c>
      <c r="C29" s="111" t="str">
        <f>+MID(VLOOKUP(A29,'Evaluación de riesgos'!$B$13:$C$160,2,0),4,LEN(VLOOKUP(A29,'Evaluación de riesgos'!$B$13:$C$160,2,0))-4)</f>
        <v xml:space="preserve"> Teniendo en cuenta la estructura de la política de Administración del Riesgo, su alcance define lineamientos para toda la entidad, incluyendo regionales, áreas tercerizadas u otras instancias que afectan la prestación del servicio</v>
      </c>
      <c r="D29" s="111" t="s">
        <v>596</v>
      </c>
      <c r="E29" s="111" t="str">
        <f>+VLOOKUP(A29,'Evaluación de riesgos'!$B$13:$K$160,3,0)</f>
        <v>Dimension de Direccionamiento Estratetegico y Planeacion.
Politica de Planeacion Institucional</v>
      </c>
      <c r="F29" s="111" t="str">
        <f>+VLOOKUP(A29,'Evaluación de riesgos'!$B$13:$K$160,10,0)</f>
        <v>Deficiencia de control (diseño o ejecución)</v>
      </c>
      <c r="G29" s="111">
        <f>+VLOOKUP(A29,'Evaluación de riesgos'!$B$13:$O$160,13,0)</f>
        <v>102.0896</v>
      </c>
      <c r="H29" s="113">
        <f t="shared" si="3"/>
        <v>26</v>
      </c>
      <c r="I29" s="111" t="str">
        <f t="shared" si="0"/>
        <v>Cuando en el análisis de los requerimientos en los diferenes componentes del MECI se cuente con aspectos evaluados en nivel 1 (presente) y 1 (funcionando); 2 (presente) y 1 (funcionando).</v>
      </c>
      <c r="J29" s="111" t="s">
        <v>656</v>
      </c>
      <c r="K29" s="111">
        <f>+IF(ISBLANK(VLOOKUP(A29,'Evaluación de riesgos'!$B$16:$F$160,5,0)),"",VLOOKUP(A29,'Evaluación de riesgos'!$B$16:$F$160,5,0))</f>
        <v>3</v>
      </c>
      <c r="L29" s="111">
        <f>+IF(ISBLANK(VLOOKUP(A29,'Evaluación de riesgos'!$B$16:$J$160,9,9)),"",VLOOKUP(A29,'Evaluación de riesgos'!$B$16:$J$160,9,9))</f>
        <v>2</v>
      </c>
      <c r="M29" s="111">
        <f t="shared" si="5"/>
        <v>0.5</v>
      </c>
      <c r="N29" s="111">
        <f t="shared" si="4"/>
        <v>0.8529411764705882</v>
      </c>
      <c r="O29" s="111"/>
      <c r="P29" s="111"/>
    </row>
    <row r="30" spans="1:16">
      <c r="A30" s="111" t="s">
        <v>657</v>
      </c>
      <c r="B30" s="111" t="str">
        <f t="shared" si="2"/>
        <v>7</v>
      </c>
      <c r="C30" s="111" t="str">
        <f>+MID(VLOOKUP(A30,'Evaluación de riesgos'!$B$13:$C$160,2,0),4,LEN(VLOOKUP(A30,'Evaluación de riesgos'!$B$13:$C$160,2,0))-4)</f>
        <v xml:space="preserve"> La Oficina de Planeación, Gerencia de Riesgos (donde existan), como 2a línea de defensa, consolidan información clave frente a la gestión del riesgo</v>
      </c>
      <c r="D30" s="111" t="s">
        <v>596</v>
      </c>
      <c r="E30" s="111" t="str">
        <f>+VLOOKUP(A30,'Evaluación de riesgos'!$B$13:$K$160,3,0)</f>
        <v>Dimension Control Interno 
Lineas de Defensa</v>
      </c>
      <c r="F30" s="111" t="str">
        <f>+VLOOKUP(A30,'Evaluación de riesgos'!$B$13:$K$160,10,0)</f>
        <v>Mantenimiento del control</v>
      </c>
      <c r="G30" s="111">
        <f>+VLOOKUP(A30,'Evaluación de riesgos'!$B$13:$O$160,13,0)</f>
        <v>142.1456</v>
      </c>
      <c r="H30" s="113">
        <f t="shared" si="3"/>
        <v>32</v>
      </c>
      <c r="I30" s="111" t="str">
        <f t="shared" si="0"/>
        <v>Cuando en el análisis de los requerimientos en los diferenes componentes del MECI se cuente con aspectos evaluados en nivel 2 (presente) y 3 (funcionando).</v>
      </c>
      <c r="J30" s="111" t="s">
        <v>656</v>
      </c>
      <c r="K30" s="111">
        <f>+IF(ISBLANK(VLOOKUP(A30,'Evaluación de riesgos'!$B$16:$F$160,5,0)),"",VLOOKUP(A30,'Evaluación de riesgos'!$B$16:$F$160,5,0))</f>
        <v>3</v>
      </c>
      <c r="L30" s="111">
        <f>+IF(ISBLANK(VLOOKUP(A30,'Evaluación de riesgos'!$B$16:$J$160,9,9)),"",VLOOKUP(A30,'Evaluación de riesgos'!$B$16:$J$160,9,9))</f>
        <v>3</v>
      </c>
      <c r="M30" s="111">
        <f t="shared" si="5"/>
        <v>1</v>
      </c>
      <c r="N30" s="111">
        <f t="shared" si="4"/>
        <v>0.8529411764705882</v>
      </c>
      <c r="O30" s="111"/>
      <c r="P30" s="111"/>
    </row>
    <row r="31" spans="1:16">
      <c r="A31" s="111" t="s">
        <v>658</v>
      </c>
      <c r="B31" s="111" t="str">
        <f t="shared" si="2"/>
        <v>7</v>
      </c>
      <c r="C31" s="111" t="str">
        <f>+MID(VLOOKUP(A31,'Evaluación de riesgos'!$B$13:$C$160,2,0),4,LEN(VLOOKUP(A31,'Evaluación de riesgos'!$B$13:$C$160,2,0))-4)</f>
        <v xml:space="preserve"> A partir de la información consolidada y reportada por la 2a línea de defensa (7.2), la Alta Dirección analiza sus resultados y en especial considera si se han presentado materializaciones de riesgo</v>
      </c>
      <c r="D31" s="111" t="s">
        <v>596</v>
      </c>
      <c r="E31" s="111" t="str">
        <f>+VLOOKUP(A31,'Evaluación de riesgos'!$B$13:$K$160,3,0)</f>
        <v>Dimension Control Interno 
Lineas de Defensa</v>
      </c>
      <c r="F31" s="111" t="str">
        <f>+VLOOKUP(A31,'Evaluación de riesgos'!$B$13:$K$160,10,0)</f>
        <v>Mantenimiento del control</v>
      </c>
      <c r="G31" s="111">
        <f>+VLOOKUP(A31,'Evaluación de riesgos'!$B$13:$O$160,13,0)</f>
        <v>142.23650000000001</v>
      </c>
      <c r="H31" s="113">
        <f t="shared" si="3"/>
        <v>33</v>
      </c>
      <c r="I31" s="111" t="str">
        <f t="shared" si="0"/>
        <v>Cuando en el análisis de los requerimientos en los diferenes componentes del MECI se cuente con aspectos evaluados en nivel 2 (presente) y 3 (funcionando).</v>
      </c>
      <c r="J31" s="111" t="s">
        <v>656</v>
      </c>
      <c r="K31" s="111">
        <f>+IF(ISBLANK(VLOOKUP(A31,'Evaluación de riesgos'!$B$16:$F$160,5,0)),"",VLOOKUP(A31,'Evaluación de riesgos'!$B$16:$F$160,5,0))</f>
        <v>3</v>
      </c>
      <c r="L31" s="111">
        <f>+IF(ISBLANK(VLOOKUP(A31,'Evaluación de riesgos'!$B$16:$J$160,9,9)),"",VLOOKUP(A31,'Evaluación de riesgos'!$B$16:$J$160,9,9))</f>
        <v>3</v>
      </c>
      <c r="M31" s="111">
        <f t="shared" si="5"/>
        <v>1</v>
      </c>
      <c r="N31" s="111">
        <f t="shared" si="4"/>
        <v>0.8529411764705882</v>
      </c>
      <c r="O31" s="111"/>
      <c r="P31" s="111"/>
    </row>
    <row r="32" spans="1:16">
      <c r="A32" s="111" t="s">
        <v>659</v>
      </c>
      <c r="B32" s="111" t="str">
        <f t="shared" si="2"/>
        <v>7</v>
      </c>
      <c r="C32" s="111" t="str">
        <f>+MID(VLOOKUP(A32,'Evaluación de riesgos'!$B$13:$C$160,2,0),4,LEN(VLOOKUP(A32,'Evaluación de riesgos'!$B$13:$C$160,2,0))-4)</f>
        <v xml:space="preserve"> Cuando se detectan materializaciones de riesgo, se definen los cursos de acción en relación con la revisión y actualización del mapa de riesgos correspondiente</v>
      </c>
      <c r="D32" s="111" t="s">
        <v>596</v>
      </c>
      <c r="E32" s="111" t="str">
        <f>+VLOOKUP(A32,'Evaluación de riesgos'!$B$13:$K$160,3,0)</f>
        <v>Dimension de Direccionamiento Estratetegico y Planeacion.
Politica de Planeacion Institucional
Dimension Control Interno 
Lineas de Defensa</v>
      </c>
      <c r="F32" s="111" t="str">
        <f>+VLOOKUP(A32,'Evaluación de riesgos'!$B$13:$K$160,10,0)</f>
        <v>Mantenimiento del control</v>
      </c>
      <c r="G32" s="111">
        <f>+VLOOKUP(A32,'Evaluación de riesgos'!$B$13:$O$160,13,0)</f>
        <v>142.3896</v>
      </c>
      <c r="H32" s="113">
        <f t="shared" si="3"/>
        <v>34</v>
      </c>
      <c r="I32" s="111" t="str">
        <f t="shared" si="0"/>
        <v>Cuando en el análisis de los requerimientos en los diferenes componentes del MECI se cuente con aspectos evaluados en nivel 2 (presente) y 3 (funcionando).</v>
      </c>
      <c r="J32" s="111" t="s">
        <v>656</v>
      </c>
      <c r="K32" s="111">
        <f>+IF(ISBLANK(VLOOKUP(A32,'Evaluación de riesgos'!$B$16:$F$160,5,0)),"",VLOOKUP(A32,'Evaluación de riesgos'!$B$16:$F$160,5,0))</f>
        <v>3</v>
      </c>
      <c r="L32" s="111">
        <f>+IF(ISBLANK(VLOOKUP(A32,'Evaluación de riesgos'!$B$16:$J$160,9,9)),"",VLOOKUP(A32,'Evaluación de riesgos'!$B$16:$J$160,9,9))</f>
        <v>3</v>
      </c>
      <c r="M32" s="111">
        <f t="shared" si="5"/>
        <v>1</v>
      </c>
      <c r="N32" s="111">
        <f t="shared" si="4"/>
        <v>0.8529411764705882</v>
      </c>
      <c r="O32" s="111"/>
      <c r="P32" s="111"/>
    </row>
    <row r="33" spans="1:16">
      <c r="A33" s="111" t="s">
        <v>660</v>
      </c>
      <c r="B33" s="111" t="str">
        <f t="shared" si="2"/>
        <v>7</v>
      </c>
      <c r="C33" s="111" t="str">
        <f>+MID(VLOOKUP(A33,'Evaluación de riesgos'!$B$13:$C$160,2,0),4,LEN(VLOOKUP(A33,'Evaluación de riesgos'!$B$13:$C$160,2,0))-4)</f>
        <v xml:space="preserve"> Se llevan a cabo seguimientos a las acciones definidas para resolver materializaciones de riesgo detectadas</v>
      </c>
      <c r="D33" s="111" t="s">
        <v>596</v>
      </c>
      <c r="E33" s="111" t="str">
        <f>+VLOOKUP(A33,'Evaluación de riesgos'!$B$13:$K$160,3,0)</f>
        <v>Dimension de Evaluacion de Resultados 
Politica de Seguimiento y evaluacion al Desempeño Institucional.
Dimension Control Interno 
Lineas de Defensa</v>
      </c>
      <c r="F33" s="111" t="str">
        <f>+VLOOKUP(A33,'Evaluación de riesgos'!$B$13:$K$160,10,0)</f>
        <v>Mantenimiento del control</v>
      </c>
      <c r="G33" s="111">
        <f>+VLOOKUP(A33,'Evaluación de riesgos'!$B$13:$O$160,13,0)</f>
        <v>142.4563</v>
      </c>
      <c r="H33" s="113">
        <f t="shared" si="3"/>
        <v>35</v>
      </c>
      <c r="I33" s="111" t="str">
        <f t="shared" si="0"/>
        <v>Cuando en el análisis de los requerimientos en los diferenes componentes del MECI se cuente con aspectos evaluados en nivel 2 (presente) y 3 (funcionando).</v>
      </c>
      <c r="J33" s="111" t="s">
        <v>656</v>
      </c>
      <c r="K33" s="111">
        <f>+IF(ISBLANK(VLOOKUP(A33,'Evaluación de riesgos'!$B$16:$F$160,5,0)),"",VLOOKUP(A33,'Evaluación de riesgos'!$B$16:$F$160,5,0))</f>
        <v>3</v>
      </c>
      <c r="L33" s="111">
        <f>+IF(ISBLANK(VLOOKUP(A33,'Evaluación de riesgos'!$B$16:$J$160,9,9)),"",VLOOKUP(A33,'Evaluación de riesgos'!$B$16:$J$160,9,9))</f>
        <v>3</v>
      </c>
      <c r="M33" s="111">
        <f t="shared" si="5"/>
        <v>1</v>
      </c>
      <c r="N33" s="111">
        <f t="shared" si="4"/>
        <v>0.8529411764705882</v>
      </c>
      <c r="O33" s="111"/>
      <c r="P33" s="111"/>
    </row>
    <row r="34" spans="1:16">
      <c r="A34" s="111" t="s">
        <v>661</v>
      </c>
      <c r="B34" s="111" t="str">
        <f t="shared" si="2"/>
        <v>8</v>
      </c>
      <c r="C34" s="111" t="str">
        <f>+MID(VLOOKUP(A34,'Evaluación de riesgos'!$B$13:$C$160,2,0),4,LEN(VLOOKUP(A34,'Evaluación de riesgos'!$B$13:$C$160,2,0))-4)</f>
        <v xml:space="preserve"> La Alta Dirección acorde con el análisis del entorno interno y externo, define los procesos, programas o proyectos (según aplique), susceptibles de posibles actos de corrupción</v>
      </c>
      <c r="D34" s="111" t="s">
        <v>596</v>
      </c>
      <c r="E34" s="111" t="str">
        <f>+VLOOKUP(A34,'Evaluación de riesgos'!$B$13:$K$160,3,0)</f>
        <v>Dimension de Direccionamiento Estratetegico y Planeacion.
Politica de Planeacion Institucional</v>
      </c>
      <c r="F34" s="111" t="str">
        <f>+VLOOKUP(A34,'Evaluación de riesgos'!$B$13:$K$160,10,0)</f>
        <v>Deficiencia de control (diseño o ejecución)</v>
      </c>
      <c r="G34" s="111">
        <f>+VLOOKUP(A34,'Evaluación de riesgos'!$B$13:$O$160,13,0)</f>
        <v>102.5458</v>
      </c>
      <c r="H34" s="113">
        <f t="shared" si="3"/>
        <v>27</v>
      </c>
      <c r="I34" s="111" t="str">
        <f t="shared" ref="I34:I65" si="8">+IF(F34=$F$2,$P$4,IF(F34=$F$3,$P$2,$P$3))</f>
        <v>Cuando en el análisis de los requerimientos en los diferenes componentes del MECI se cuente con aspectos evaluados en nivel 1 (presente) y 1 (funcionando); 2 (presente) y 1 (funcionando).</v>
      </c>
      <c r="J34" s="111" t="s">
        <v>662</v>
      </c>
      <c r="K34" s="111">
        <f>+IF(ISBLANK(VLOOKUP(A34,'Evaluación de riesgos'!$B$16:$F$160,5,0)),"",VLOOKUP(A34,'Evaluación de riesgos'!$B$16:$F$160,5,0))</f>
        <v>3</v>
      </c>
      <c r="L34" s="111">
        <f>+IF(ISBLANK(VLOOKUP(A34,'Evaluación de riesgos'!$B$16:$J$160,9,9)),"",VLOOKUP(A34,'Evaluación de riesgos'!$B$16:$J$160,9,9))</f>
        <v>2</v>
      </c>
      <c r="M34" s="111">
        <f t="shared" si="5"/>
        <v>0.5</v>
      </c>
      <c r="N34" s="111">
        <f t="shared" si="4"/>
        <v>0.8529411764705882</v>
      </c>
      <c r="O34" s="111"/>
      <c r="P34" s="111"/>
    </row>
    <row r="35" spans="1:16">
      <c r="A35" s="111" t="s">
        <v>663</v>
      </c>
      <c r="B35" s="111" t="str">
        <f t="shared" si="2"/>
        <v>8</v>
      </c>
      <c r="C35" s="111" t="str">
        <f>+MID(VLOOKUP(A35,'Evaluación de riesgos'!$B$13:$C$160,2,0),4,LEN(VLOOKUP(A35,'Evaluación de riesgos'!$B$13:$C$160,2,0))-4)</f>
        <v xml:space="preserve"> La Alta Dirección monitorea los riesgos de corrupción con la periodicidad establecida en la Política de Administración del Riesgo</v>
      </c>
      <c r="D35" s="111" t="s">
        <v>596</v>
      </c>
      <c r="E35" s="111" t="str">
        <f>+VLOOKUP(A35,'Evaluación de riesgos'!$B$13:$K$160,3,0)</f>
        <v>Dimension de Control Interno
Linea Estrategica</v>
      </c>
      <c r="F35" s="111" t="str">
        <f>+VLOOKUP(A35,'Evaluación de riesgos'!$B$13:$K$160,10,0)</f>
        <v>Deficiencia de control (diseño o ejecución)</v>
      </c>
      <c r="G35" s="111">
        <f>+VLOOKUP(A35,'Evaluación de riesgos'!$B$13:$O$160,13,0)</f>
        <v>102.63209999999999</v>
      </c>
      <c r="H35" s="113">
        <f t="shared" si="3"/>
        <v>28</v>
      </c>
      <c r="I35" s="111" t="str">
        <f t="shared" si="8"/>
        <v>Cuando en el análisis de los requerimientos en los diferenes componentes del MECI se cuente con aspectos evaluados en nivel 1 (presente) y 1 (funcionando); 2 (presente) y 1 (funcionando).</v>
      </c>
      <c r="J35" s="111" t="s">
        <v>662</v>
      </c>
      <c r="K35" s="111">
        <f>+IF(ISBLANK(VLOOKUP(A35,'Evaluación de riesgos'!$B$16:$F$160,5,0)),"",VLOOKUP(A35,'Evaluación de riesgos'!$B$16:$F$160,5,0))</f>
        <v>3</v>
      </c>
      <c r="L35" s="111">
        <f>+IF(ISBLANK(VLOOKUP(A35,'Evaluación de riesgos'!$B$16:$J$160,9,9)),"",VLOOKUP(A35,'Evaluación de riesgos'!$B$16:$J$160,9,9))</f>
        <v>2</v>
      </c>
      <c r="M35" s="111">
        <f t="shared" si="5"/>
        <v>0.5</v>
      </c>
      <c r="N35" s="111">
        <f t="shared" si="4"/>
        <v>0.8529411764705882</v>
      </c>
      <c r="O35" s="111"/>
      <c r="P35" s="111"/>
    </row>
    <row r="36" spans="1:16">
      <c r="A36" s="111" t="s">
        <v>664</v>
      </c>
      <c r="B36" s="111" t="str">
        <f t="shared" si="2"/>
        <v>8</v>
      </c>
      <c r="C36" s="111" t="str">
        <f>+MID(VLOOKUP(A36,'Evaluación de riesgos'!$B$13:$C$160,2,0),4,LEN(VLOOKUP(A36,'Evaluación de riesgos'!$B$13:$C$160,2,0))-4)</f>
        <v xml:space="preserve"> Para el desarrollo de las actividades de control, la entidad considera la adecuada división de las funciones y que éstas se encuentren segregadas en diferentes personas para reducir el riesgo de acciones fraudulentas</v>
      </c>
      <c r="D36" s="111" t="s">
        <v>596</v>
      </c>
      <c r="E36" s="111" t="str">
        <f>+VLOOKUP(A36,'Evaluación de riesgos'!$B$13:$K$160,3,0)</f>
        <v>Dimension de Contro Interno
Lineas de Defensa</v>
      </c>
      <c r="F36" s="111" t="str">
        <f>+VLOOKUP(A36,'Evaluación de riesgos'!$B$13:$K$160,10,0)</f>
        <v>Mantenimiento del control</v>
      </c>
      <c r="G36" s="111">
        <f>+VLOOKUP(A36,'Evaluación de riesgos'!$B$13:$O$160,13,0)</f>
        <v>142.7456</v>
      </c>
      <c r="H36" s="113">
        <f t="shared" si="3"/>
        <v>36</v>
      </c>
      <c r="I36" s="111" t="str">
        <f t="shared" si="8"/>
        <v>Cuando en el análisis de los requerimientos en los diferenes componentes del MECI se cuente con aspectos evaluados en nivel 2 (presente) y 3 (funcionando).</v>
      </c>
      <c r="J36" s="111" t="s">
        <v>662</v>
      </c>
      <c r="K36" s="111">
        <f>+IF(ISBLANK(VLOOKUP(A36,'Evaluación de riesgos'!$B$16:$F$160,5,0)),"",VLOOKUP(A36,'Evaluación de riesgos'!$B$16:$F$160,5,0))</f>
        <v>3</v>
      </c>
      <c r="L36" s="111">
        <f>+IF(ISBLANK(VLOOKUP(A36,'Evaluación de riesgos'!$B$16:$J$160,9,9)),"",VLOOKUP(A36,'Evaluación de riesgos'!$B$16:$J$160,9,9))</f>
        <v>3</v>
      </c>
      <c r="M36" s="111">
        <f t="shared" si="5"/>
        <v>1</v>
      </c>
      <c r="N36" s="111">
        <f t="shared" si="4"/>
        <v>0.8529411764705882</v>
      </c>
      <c r="O36" s="111"/>
      <c r="P36" s="111"/>
    </row>
    <row r="37" spans="1:16">
      <c r="A37" s="111" t="s">
        <v>665</v>
      </c>
      <c r="B37" s="111" t="str">
        <f t="shared" si="2"/>
        <v>8</v>
      </c>
      <c r="C37" s="111" t="str">
        <f>+MID(VLOOKUP(A37,'Evaluación de riesgos'!$B$13:$C$160,2,0),4,LEN(VLOOKUP(A37,'Evaluación de riesgos'!$B$13:$C$160,2,0))-4)</f>
        <v xml:space="preserve"> La Alta Dirección evalúa fallas en los controles (diseño y ejecución) para definir cursos de acción apropiados para su mejora</v>
      </c>
      <c r="D37" s="111" t="s">
        <v>596</v>
      </c>
      <c r="E37" s="111" t="str">
        <f>+VLOOKUP(A37,'Evaluación de riesgos'!$B$13:$K$160,3,0)</f>
        <v>Dimension de Control Interno
Linea Estrategica</v>
      </c>
      <c r="F37" s="111" t="str">
        <f>+VLOOKUP(A37,'Evaluación de riesgos'!$B$13:$K$160,10,0)</f>
        <v>Mantenimiento del control</v>
      </c>
      <c r="G37" s="111">
        <f>+VLOOKUP(A37,'Evaluación de riesgos'!$B$13:$O$160,13,0)</f>
        <v>142.87450000000001</v>
      </c>
      <c r="H37" s="113">
        <f t="shared" si="3"/>
        <v>37</v>
      </c>
      <c r="I37" s="111" t="str">
        <f t="shared" si="8"/>
        <v>Cuando en el análisis de los requerimientos en los diferenes componentes del MECI se cuente con aspectos evaluados en nivel 2 (presente) y 3 (funcionando).</v>
      </c>
      <c r="J37" s="111" t="s">
        <v>662</v>
      </c>
      <c r="K37" s="111">
        <f>+IF(ISBLANK(VLOOKUP(A37,'Evaluación de riesgos'!$B$16:$F$160,5,0)),"",VLOOKUP(A37,'Evaluación de riesgos'!$B$16:$F$160,5,0))</f>
        <v>3</v>
      </c>
      <c r="L37" s="111">
        <f>+IF(ISBLANK(VLOOKUP(A37,'Evaluación de riesgos'!$B$16:$J$160,9,9)),"",VLOOKUP(A37,'Evaluación de riesgos'!$B$16:$J$160,9,9))</f>
        <v>3</v>
      </c>
      <c r="M37" s="111">
        <f t="shared" si="5"/>
        <v>1</v>
      </c>
      <c r="N37" s="111">
        <f t="shared" si="4"/>
        <v>0.8529411764705882</v>
      </c>
      <c r="O37" s="111"/>
      <c r="P37" s="111"/>
    </row>
    <row r="38" spans="1:16">
      <c r="A38" s="111" t="s">
        <v>666</v>
      </c>
      <c r="B38" s="111" t="str">
        <f t="shared" si="2"/>
        <v>9</v>
      </c>
      <c r="C38" s="111" t="str">
        <f>+MID(VLOOKUP(A38,'Evaluación de riesgos'!$B$13:$C$160,2,0),4,LEN(VLOOKUP(A38,'Evaluación de riesgos'!$B$13:$C$160,2,0))-4)</f>
        <v xml:space="preserve"> Acorde con lo establecido en la política de Administración del Riesgo, se monitorean los factores internos y externos definidos para la entidad, a fin de establecer cambios en el entorno que determinen nuevos riesgos o ajustes a los existentes</v>
      </c>
      <c r="D38" s="111" t="s">
        <v>596</v>
      </c>
      <c r="E38" s="111" t="str">
        <f>+VLOOKUP(A38,'Evaluación de riesgos'!$B$13:$K$160,3,0)</f>
        <v>Dimension de Direccionamiento Estrategico 
Politica de Planeacion Institucional</v>
      </c>
      <c r="F38" s="111" t="str">
        <f>+VLOOKUP(A38,'Evaluación de riesgos'!$B$13:$K$160,10,0)</f>
        <v>Mantenimiento del control</v>
      </c>
      <c r="G38" s="111">
        <f>+VLOOKUP(A38,'Evaluación de riesgos'!$B$13:$O$160,13,0)</f>
        <v>142.96350000000001</v>
      </c>
      <c r="H38" s="113">
        <f t="shared" si="3"/>
        <v>38</v>
      </c>
      <c r="I38" s="111" t="str">
        <f t="shared" si="8"/>
        <v>Cuando en el análisis de los requerimientos en los diferenes componentes del MECI se cuente con aspectos evaluados en nivel 2 (presente) y 3 (funcionando).</v>
      </c>
      <c r="J38" s="111" t="s">
        <v>667</v>
      </c>
      <c r="K38" s="111">
        <f>+IF(ISBLANK(VLOOKUP(A38,'Evaluación de riesgos'!$B$16:$F$160,5,0)),"",VLOOKUP(A38,'Evaluación de riesgos'!$B$16:$F$160,5,0))</f>
        <v>3</v>
      </c>
      <c r="L38" s="111">
        <f>+IF(ISBLANK(VLOOKUP(A38,'Evaluación de riesgos'!$B$16:$J$160,9,9)),"",VLOOKUP(A38,'Evaluación de riesgos'!$B$16:$J$160,9,9))</f>
        <v>3</v>
      </c>
      <c r="M38" s="111">
        <f t="shared" si="5"/>
        <v>1</v>
      </c>
      <c r="N38" s="111">
        <f t="shared" si="4"/>
        <v>0.8529411764705882</v>
      </c>
      <c r="O38" s="111"/>
      <c r="P38" s="111"/>
    </row>
    <row r="39" spans="1:16">
      <c r="A39" s="111" t="s">
        <v>668</v>
      </c>
      <c r="B39" s="111" t="str">
        <f t="shared" si="2"/>
        <v>9</v>
      </c>
      <c r="C39" s="111" t="str">
        <f>+MID(VLOOKUP(A39,'Evaluación de riesgos'!$B$13:$C$160,2,0),4,LEN(VLOOKUP(A39,'Evaluación de riesgos'!$B$13:$C$160,2,0))-4)</f>
        <v xml:space="preserve"> La Alta Dirección analiza los riesgos asociados a actividades tercerizadas, regionales u otras figuras externas que afecten la prestación del servicio a los usuarios, basados en los informes de la segunda y tercera linea de defensa</v>
      </c>
      <c r="D39" s="111" t="s">
        <v>596</v>
      </c>
      <c r="E39" s="111" t="str">
        <f>+VLOOKUP(A39,'Evaluación de riesgos'!$B$13:$K$160,3,0)</f>
        <v>Dimension de Control Interno
Lineas de Defensa</v>
      </c>
      <c r="F39" s="111" t="str">
        <f>+VLOOKUP(A39,'Evaluación de riesgos'!$B$13:$K$160,10,0)</f>
        <v>Mantenimiento del control</v>
      </c>
      <c r="G39" s="111">
        <f>+VLOOKUP(A39,'Evaluación de riesgos'!$B$13:$O$160,13,0)</f>
        <v>143.01249999999999</v>
      </c>
      <c r="H39" s="113">
        <f t="shared" si="3"/>
        <v>39</v>
      </c>
      <c r="I39" s="111" t="str">
        <f t="shared" si="8"/>
        <v>Cuando en el análisis de los requerimientos en los diferenes componentes del MECI se cuente con aspectos evaluados en nivel 2 (presente) y 3 (funcionando).</v>
      </c>
      <c r="J39" s="111" t="s">
        <v>667</v>
      </c>
      <c r="K39" s="111">
        <f>+IF(ISBLANK(VLOOKUP(A39,'Evaluación de riesgos'!$B$16:$F$160,5,0)),"",VLOOKUP(A39,'Evaluación de riesgos'!$B$16:$F$160,5,0))</f>
        <v>3</v>
      </c>
      <c r="L39" s="111">
        <f>+IF(ISBLANK(VLOOKUP(A39,'Evaluación de riesgos'!$B$16:$J$160,9,9)),"",VLOOKUP(A39,'Evaluación de riesgos'!$B$16:$J$160,9,9))</f>
        <v>3</v>
      </c>
      <c r="M39" s="111">
        <f t="shared" si="5"/>
        <v>1</v>
      </c>
      <c r="N39" s="111">
        <f t="shared" si="4"/>
        <v>0.8529411764705882</v>
      </c>
      <c r="O39" s="111"/>
      <c r="P39" s="111"/>
    </row>
    <row r="40" spans="1:16">
      <c r="A40" s="111" t="s">
        <v>669</v>
      </c>
      <c r="B40" s="111" t="str">
        <f t="shared" si="2"/>
        <v>9</v>
      </c>
      <c r="C40" s="111" t="str">
        <f>+MID(VLOOKUP(A40,'Evaluación de riesgos'!$B$13:$C$160,2,0),4,LEN(VLOOKUP(A40,'Evaluación de riesgos'!$B$13:$C$160,2,0))-4)</f>
        <v xml:space="preserve"> La Alta Dirección monitorea los riesgos aceptados revisando que sus condiciones no hayan cambiado y definir su pertinencia para sostenerlos o ajustarlos</v>
      </c>
      <c r="D40" s="111" t="s">
        <v>596</v>
      </c>
      <c r="E40" s="111" t="str">
        <f>+VLOOKUP(A40,'Evaluación de riesgos'!$B$13:$K$160,3,0)</f>
        <v>Dimension de Control Interno
Linea Estrategica</v>
      </c>
      <c r="F40" s="111" t="str">
        <f>+VLOOKUP(A40,'Evaluación de riesgos'!$B$13:$K$160,10,0)</f>
        <v>Deficiencia de control (diseño o ejecución)</v>
      </c>
      <c r="G40" s="111">
        <f>+VLOOKUP(A40,'Evaluación de riesgos'!$B$13:$O$160,13,0)</f>
        <v>103.1236</v>
      </c>
      <c r="H40" s="113">
        <f t="shared" si="3"/>
        <v>29</v>
      </c>
      <c r="I40" s="111" t="str">
        <f t="shared" si="8"/>
        <v>Cuando en el análisis de los requerimientos en los diferenes componentes del MECI se cuente con aspectos evaluados en nivel 1 (presente) y 1 (funcionando); 2 (presente) y 1 (funcionando).</v>
      </c>
      <c r="J40" s="111" t="s">
        <v>667</v>
      </c>
      <c r="K40" s="111">
        <f>+IF(ISBLANK(VLOOKUP(A40,'Evaluación de riesgos'!$B$16:$F$160,5,0)),"",VLOOKUP(A40,'Evaluación de riesgos'!$B$16:$F$160,5,0))</f>
        <v>3</v>
      </c>
      <c r="L40" s="111">
        <f>+IF(ISBLANK(VLOOKUP(A40,'Evaluación de riesgos'!$B$16:$J$160,9,9)),"",VLOOKUP(A40,'Evaluación de riesgos'!$B$16:$J$160,9,9))</f>
        <v>2</v>
      </c>
      <c r="M40" s="111">
        <f t="shared" si="5"/>
        <v>0.5</v>
      </c>
      <c r="N40" s="111">
        <f t="shared" si="4"/>
        <v>0.8529411764705882</v>
      </c>
      <c r="O40" s="111"/>
      <c r="P40" s="111"/>
    </row>
    <row r="41" spans="1:16">
      <c r="A41" s="111" t="s">
        <v>670</v>
      </c>
      <c r="B41" s="111" t="str">
        <f t="shared" si="2"/>
        <v>9</v>
      </c>
      <c r="C41" s="111" t="str">
        <f>+MID(VLOOKUP(A41,'Evaluación de riesgos'!$B$13:$C$160,2,0),4,LEN(VLOOKUP(A41,'Evaluación de riesgos'!$B$13:$C$160,2,0))-4)</f>
        <v xml:space="preserve"> La Alta Dirección evalúa fallas en los controles (diseño y ejecución) para definir cursos de acción apropiados para su mejora, basados en los informes de la segunda y tercera linea de defensa</v>
      </c>
      <c r="D41" s="111" t="s">
        <v>596</v>
      </c>
      <c r="E41" s="111" t="str">
        <f>+VLOOKUP(A41,'Evaluación de riesgos'!$B$13:$K$160,3,0)</f>
        <v>Dimension de Control Interno
Lineas de Defensa</v>
      </c>
      <c r="F41" s="111" t="str">
        <f>+VLOOKUP(A41,'Evaluación de riesgos'!$B$13:$K$160,10,0)</f>
        <v>Mantenimiento del control</v>
      </c>
      <c r="G41" s="111">
        <f>+VLOOKUP(A41,'Evaluación de riesgos'!$B$13:$O$160,13,0)</f>
        <v>143.2456</v>
      </c>
      <c r="H41" s="113">
        <f t="shared" si="3"/>
        <v>40</v>
      </c>
      <c r="I41" s="111" t="str">
        <f t="shared" si="8"/>
        <v>Cuando en el análisis de los requerimientos en los diferenes componentes del MECI se cuente con aspectos evaluados en nivel 2 (presente) y 3 (funcionando).</v>
      </c>
      <c r="J41" s="111" t="s">
        <v>667</v>
      </c>
      <c r="K41" s="111">
        <f>+IF(ISBLANK(VLOOKUP(A41,'Evaluación de riesgos'!$B$16:$F$160,5,0)),"",VLOOKUP(A41,'Evaluación de riesgos'!$B$16:$F$160,5,0))</f>
        <v>3</v>
      </c>
      <c r="L41" s="111">
        <f>+IF(ISBLANK(VLOOKUP(A41,'Evaluación de riesgos'!$B$16:$J$160,9,9)),"",VLOOKUP(A41,'Evaluación de riesgos'!$B$16:$J$160,9,9))</f>
        <v>3</v>
      </c>
      <c r="M41" s="111">
        <f t="shared" si="5"/>
        <v>1</v>
      </c>
      <c r="N41" s="111">
        <f t="shared" si="4"/>
        <v>0.8529411764705882</v>
      </c>
      <c r="O41" s="111"/>
      <c r="P41" s="111"/>
    </row>
    <row r="42" spans="1:16">
      <c r="A42" s="111" t="s">
        <v>671</v>
      </c>
      <c r="B42" s="111" t="str">
        <f t="shared" si="2"/>
        <v>9</v>
      </c>
      <c r="C42" s="111" t="str">
        <f>+MID(VLOOKUP(A42,'Evaluación de riesgos'!$B$13:$C$160,2,0),4,LEN(VLOOKUP(A42,'Evaluación de riesgos'!$B$13:$C$160,2,0))-4)</f>
        <v xml:space="preserve"> La entidad analiza el impacto sobre el control interno por cambios en los diferentes niveles organizacionales</v>
      </c>
      <c r="D42" s="111" t="s">
        <v>596</v>
      </c>
      <c r="E42" s="111" t="str">
        <f>+VLOOKUP(A42,'Evaluación de riesgos'!$B$13:$K$160,3,0)</f>
        <v>Dimension de Direccionamiento Estrategico y Planeacion
Politica de Planeacion Institucional
Dimension de Control Interno
Linea Estrategica</v>
      </c>
      <c r="F42" s="111" t="str">
        <f>+VLOOKUP(A42,'Evaluación de riesgos'!$B$13:$K$160,10,0)</f>
        <v>Mantenimiento del control</v>
      </c>
      <c r="G42" s="111">
        <f>+VLOOKUP(A42,'Evaluación de riesgos'!$B$13:$O$160,13,0)</f>
        <v>143.36539999999999</v>
      </c>
      <c r="H42" s="113">
        <f t="shared" si="3"/>
        <v>41</v>
      </c>
      <c r="I42" s="111" t="str">
        <f t="shared" si="8"/>
        <v>Cuando en el análisis de los requerimientos en los diferenes componentes del MECI se cuente con aspectos evaluados en nivel 2 (presente) y 3 (funcionando).</v>
      </c>
      <c r="J42" s="111" t="s">
        <v>667</v>
      </c>
      <c r="K42" s="111">
        <f>+IF(ISBLANK(VLOOKUP(A42,'Evaluación de riesgos'!$B$16:$F$160,5,0)),"",VLOOKUP(A42,'Evaluación de riesgos'!$B$16:$F$160,5,0))</f>
        <v>3</v>
      </c>
      <c r="L42" s="111">
        <f>+IF(ISBLANK(VLOOKUP(A42,'Evaluación de riesgos'!$B$16:$J$160,9,9)),"",VLOOKUP(A42,'Evaluación de riesgos'!$B$16:$J$160,9,9))</f>
        <v>3</v>
      </c>
      <c r="M42" s="111">
        <f t="shared" si="5"/>
        <v>1</v>
      </c>
      <c r="N42" s="111">
        <f t="shared" si="4"/>
        <v>0.8529411764705882</v>
      </c>
      <c r="O42" s="111"/>
      <c r="P42" s="111"/>
    </row>
    <row r="43" spans="1:16">
      <c r="A43" s="111" t="s">
        <v>672</v>
      </c>
      <c r="B43" s="111" t="str">
        <f>+LEFT(A43,2)</f>
        <v>10</v>
      </c>
      <c r="C43" s="111" t="str">
        <f>+MID(VLOOKUP(A43,'Actividades de control'!$B$13:$C$176,2,0),5,LEN(VLOOKUP(A43,'Actividades de control'!$B$13:$C$176,2,0))-5)</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D43" s="111" t="s">
        <v>599</v>
      </c>
      <c r="E43" s="111" t="str">
        <f>+VLOOKUP(A43,'Actividades de control'!$B$18:$K$122,3,0)</f>
        <v>Dimension de Control Interno
Lineas de Defensa</v>
      </c>
      <c r="F43" s="111" t="str">
        <f>+VLOOKUP(A43,'Actividades de control'!$B$18:$K$122,10,0)</f>
        <v>Mantenimiento del control</v>
      </c>
      <c r="G43" s="111">
        <f>+VLOOKUP(A43,'Actividades de control'!$B$13:$N$176,13,0)</f>
        <v>223.45689999999999</v>
      </c>
      <c r="H43" s="113">
        <f t="shared" si="3"/>
        <v>47</v>
      </c>
      <c r="I43" s="111" t="str">
        <f t="shared" si="8"/>
        <v>Cuando en el análisis de los requerimientos en los diferenes componentes del MECI se cuente con aspectos evaluados en nivel 2 (presente) y 3 (funcionando).</v>
      </c>
      <c r="J43" s="111" t="s">
        <v>673</v>
      </c>
      <c r="K43" s="111">
        <f>+IF(ISBLANK(VLOOKUP(A43,'Actividades de control'!$B$21:$F$122,5,0)),"",VLOOKUP(A43,'Actividades de control'!$B$21:$F$122,5,0))</f>
        <v>3</v>
      </c>
      <c r="L43" s="111">
        <f>+IF(ISBLANK(VLOOKUP(A43,'Actividades de control'!$B$21:$J$122,9,0)),"",VLOOKUP(A43,'Actividades de control'!$B$21:$J$122,9,0))</f>
        <v>3</v>
      </c>
      <c r="M43" s="111">
        <f t="shared" si="5"/>
        <v>1</v>
      </c>
      <c r="N43" s="111">
        <f t="shared" si="4"/>
        <v>0.79166666666666663</v>
      </c>
      <c r="O43" s="111"/>
      <c r="P43" s="111"/>
    </row>
    <row r="44" spans="1:16">
      <c r="A44" s="111" t="s">
        <v>674</v>
      </c>
      <c r="B44" s="111" t="str">
        <f t="shared" ref="B44:B82" si="9">+LEFT(A44,2)</f>
        <v>10</v>
      </c>
      <c r="C44" s="111" t="str">
        <f>+MID(VLOOKUP(A44,'Actividades de control'!$B$13:$C$176,2,0),5,LEN(VLOOKUP(A44,'Actividades de control'!$B$13:$C$176,2,0))-5)</f>
        <v xml:space="preserve"> Se han idenfificado y documentado las situaciones específicas en donde no es posible segregar adecuadamente las funciones (ej: falta de personal, presupuesto), con el fin de definir actividades de control alternativas para cubrir los riesgos identificados.</v>
      </c>
      <c r="D44" s="111" t="s">
        <v>599</v>
      </c>
      <c r="E44" s="111" t="str">
        <f>+VLOOKUP(A44,'Actividades de control'!$B$18:$K$122,3,0)</f>
        <v>Dimension de Control Interno
Lineas de Defensa</v>
      </c>
      <c r="F44" s="111" t="str">
        <f>+VLOOKUP(A44,'Actividades de control'!$B$18:$K$122,10,0)</f>
        <v>Mantenimiento del control</v>
      </c>
      <c r="G44" s="111">
        <f>+VLOOKUP(A44,'Actividades de control'!$B$13:$N$176,13,0)</f>
        <v>223.5478</v>
      </c>
      <c r="H44" s="113">
        <f t="shared" si="3"/>
        <v>48</v>
      </c>
      <c r="I44" s="111" t="str">
        <f t="shared" si="8"/>
        <v>Cuando en el análisis de los requerimientos en los diferenes componentes del MECI se cuente con aspectos evaluados en nivel 2 (presente) y 3 (funcionando).</v>
      </c>
      <c r="J44" s="111" t="s">
        <v>673</v>
      </c>
      <c r="K44" s="111">
        <f>+IF(ISBLANK(VLOOKUP(A44,'Actividades de control'!$B$21:$F$122,5,0)),"",VLOOKUP(A44,'Actividades de control'!$B$21:$F$122,5,0))</f>
        <v>3</v>
      </c>
      <c r="L44" s="111">
        <f>+IF(ISBLANK(VLOOKUP(A44,'Actividades de control'!$B$21:$J$122,9,0)),"",VLOOKUP(A44,'Actividades de control'!$B$21:$J$122,9,0))</f>
        <v>3</v>
      </c>
      <c r="M44" s="111">
        <f t="shared" si="5"/>
        <v>1</v>
      </c>
      <c r="N44" s="111">
        <f t="shared" si="4"/>
        <v>0.79166666666666663</v>
      </c>
      <c r="O44" s="111"/>
      <c r="P44" s="111"/>
    </row>
    <row r="45" spans="1:16">
      <c r="A45" s="111" t="s">
        <v>675</v>
      </c>
      <c r="B45" s="111" t="str">
        <f t="shared" si="9"/>
        <v>10</v>
      </c>
      <c r="C45" s="111" t="str">
        <f>+MID(VLOOKUP(A45,'Actividades de control'!$B$13:$C$176,2,0),5,LEN(VLOOKUP(A45,'Actividades de control'!$B$13:$C$176,2,0))-5)</f>
        <v xml:space="preserve"> El diseño de otros  sistemas de gestión (bajo normas o estándares internacionales como la ISO), se intregan de forma adecuada a la estructura de control de la entidad</v>
      </c>
      <c r="D45" s="111" t="s">
        <v>599</v>
      </c>
      <c r="E45" s="111" t="str">
        <f>+VLOOKUP(A45,'Actividades de control'!$B$18:$K$122,3,0)</f>
        <v xml:space="preserve">
Dimension de Gestion con Valores para Resultados
Dimension de Control Interno
Lineas de Defensa</v>
      </c>
      <c r="F45" s="111" t="str">
        <f>+VLOOKUP(A45,'Actividades de control'!$B$18:$K$122,10,0)</f>
        <v>Deficiencia de control (diseño o ejecución)</v>
      </c>
      <c r="G45" s="111">
        <f>+VLOOKUP(A45,'Actividades de control'!$B$13:$N$176,13,0)</f>
        <v>183.64580000000001</v>
      </c>
      <c r="H45" s="113">
        <f t="shared" si="3"/>
        <v>42</v>
      </c>
      <c r="I45" s="111" t="str">
        <f t="shared" si="8"/>
        <v>Cuando en el análisis de los requerimientos en los diferenes componentes del MECI se cuente con aspectos evaluados en nivel 1 (presente) y 1 (funcionando); 2 (presente) y 1 (funcionando).</v>
      </c>
      <c r="J45" s="111" t="s">
        <v>673</v>
      </c>
      <c r="K45" s="111">
        <f>+IF(ISBLANK(VLOOKUP(A45,'Actividades de control'!$B$21:$F$122,5,0)),"",VLOOKUP(A45,'Actividades de control'!$B$21:$F$122,5,0))</f>
        <v>3</v>
      </c>
      <c r="L45" s="111">
        <f>+IF(ISBLANK(VLOOKUP(A45,'Actividades de control'!$B$21:$J$122,9,0)),"",VLOOKUP(A45,'Actividades de control'!$B$21:$J$122,9,0))</f>
        <v>2</v>
      </c>
      <c r="M45" s="111">
        <f t="shared" si="5"/>
        <v>0.5</v>
      </c>
      <c r="N45" s="111">
        <f t="shared" si="4"/>
        <v>0.79166666666666663</v>
      </c>
      <c r="O45" s="111"/>
      <c r="P45" s="111"/>
    </row>
    <row r="46" spans="1:16">
      <c r="A46" s="111" t="s">
        <v>676</v>
      </c>
      <c r="B46" s="111" t="str">
        <f t="shared" si="9"/>
        <v>11</v>
      </c>
      <c r="C46" s="111" t="str">
        <f>+MID(VLOOKUP(A46,'Actividades de control'!$B$13:$C$176,2,0),5,LEN(VLOOKUP(A46,'Actividades de control'!$B$13:$C$176,2,0))-5)</f>
        <v xml:space="preserve"> La entidad establece actividades de control relevantes sobre las infraestructuras tecnológicas; los procesos de gestión de la seguridad y sobre los procesos de adquisición, desarrollo y mantenimiento de tecnologías</v>
      </c>
      <c r="D46" s="111" t="s">
        <v>599</v>
      </c>
      <c r="E46" s="111" t="str">
        <f>+VLOOKUP(A46,'Actividades de control'!$B$18:$K$122,3,0)</f>
        <v xml:space="preserve">Dimension de Gestion con Valores para el Resultado
Politica de Gobierno Digital 
Politica de Seguridad Digital
</v>
      </c>
      <c r="F46" s="111" t="str">
        <f>+VLOOKUP(A46,'Actividades de control'!$B$18:$K$122,10,0)</f>
        <v>Mantenimiento del control</v>
      </c>
      <c r="G46" s="111">
        <f>+VLOOKUP(A46,'Actividades de control'!$B$13:$N$176,13,0)</f>
        <v>223.78960000000001</v>
      </c>
      <c r="H46" s="113">
        <f t="shared" si="3"/>
        <v>49</v>
      </c>
      <c r="I46" s="111" t="str">
        <f t="shared" si="8"/>
        <v>Cuando en el análisis de los requerimientos en los diferenes componentes del MECI se cuente con aspectos evaluados en nivel 2 (presente) y 3 (funcionando).</v>
      </c>
      <c r="J46" s="111" t="s">
        <v>677</v>
      </c>
      <c r="K46" s="111">
        <f>+IF(ISBLANK(VLOOKUP(A46,'Actividades de control'!$B$21:$F$122,5,0)),"",VLOOKUP(A46,'Actividades de control'!$B$21:$F$122,5,0))</f>
        <v>3</v>
      </c>
      <c r="L46" s="111">
        <f>+IF(ISBLANK(VLOOKUP(A46,'Actividades de control'!$B$21:$J$122,9,0)),"",VLOOKUP(A46,'Actividades de control'!$B$21:$J$122,9,0))</f>
        <v>3</v>
      </c>
      <c r="M46" s="111">
        <f t="shared" si="5"/>
        <v>1</v>
      </c>
      <c r="N46" s="111">
        <f t="shared" si="4"/>
        <v>0.79166666666666663</v>
      </c>
      <c r="O46" s="111"/>
      <c r="P46" s="111"/>
    </row>
    <row r="47" spans="1:16">
      <c r="A47" s="111" t="s">
        <v>678</v>
      </c>
      <c r="B47" s="111" t="str">
        <f t="shared" si="9"/>
        <v>11</v>
      </c>
      <c r="C47" s="111" t="str">
        <f>+MID(VLOOKUP(A47,'Actividades de control'!$B$13:$C$176,2,0),5,LEN(VLOOKUP(A47,'Actividades de control'!$B$13:$C$176,2,0))-5)</f>
        <v xml:space="preserve">  Para los proveedores de tecnología  selecciona y desarrolla actividades de control internas sobre las actividades realizadas por el proveedor de servicios</v>
      </c>
      <c r="D47" s="111" t="s">
        <v>599</v>
      </c>
      <c r="E47" s="111" t="str">
        <f>+VLOOKUP(A47,'Actividades de control'!$B$18:$K$122,3,0)</f>
        <v xml:space="preserve">Dimension de Gestion con Valores para el Resultado
Politica de Gobierno Digital 
Politica de Seguridad Digital
</v>
      </c>
      <c r="F47" s="111" t="str">
        <f>+VLOOKUP(A47,'Actividades de control'!$B$18:$K$122,10,0)</f>
        <v>Mantenimiento del control</v>
      </c>
      <c r="G47" s="111">
        <f>+VLOOKUP(A47,'Actividades de control'!$B$13:$N$176,13,0)</f>
        <v>223.84559999999999</v>
      </c>
      <c r="H47" s="113">
        <f t="shared" si="3"/>
        <v>50</v>
      </c>
      <c r="I47" s="111" t="str">
        <f t="shared" si="8"/>
        <v>Cuando en el análisis de los requerimientos en los diferenes componentes del MECI se cuente con aspectos evaluados en nivel 2 (presente) y 3 (funcionando).</v>
      </c>
      <c r="J47" s="111" t="s">
        <v>677</v>
      </c>
      <c r="K47" s="111">
        <f>+IF(ISBLANK(VLOOKUP(A47,'Actividades de control'!$B$21:$F$122,5,0)),"",VLOOKUP(A47,'Actividades de control'!$B$21:$F$122,5,0))</f>
        <v>3</v>
      </c>
      <c r="L47" s="111">
        <f>+IF(ISBLANK(VLOOKUP(A47,'Actividades de control'!$B$21:$J$122,9,0)),"",VLOOKUP(A47,'Actividades de control'!$B$21:$J$122,9,0))</f>
        <v>3</v>
      </c>
      <c r="M47" s="111">
        <f t="shared" si="5"/>
        <v>1</v>
      </c>
      <c r="N47" s="111">
        <f t="shared" si="4"/>
        <v>0.79166666666666663</v>
      </c>
      <c r="O47" s="111"/>
      <c r="P47" s="111"/>
    </row>
    <row r="48" spans="1:16">
      <c r="A48" s="111" t="s">
        <v>679</v>
      </c>
      <c r="B48" s="111" t="str">
        <f t="shared" si="9"/>
        <v>11</v>
      </c>
      <c r="C48" s="111" t="str">
        <f>+MID(VLOOKUP(A48,'Actividades de control'!$B$13:$C$176,2,0),5,LEN(VLOOKUP(A48,'Actividades de control'!$B$13:$C$176,2,0))-5)</f>
        <v xml:space="preserve"> Se cuenta con matrices de roles y usuarios siguiendo los principios de segregación de funciones.</v>
      </c>
      <c r="D48" s="111" t="s">
        <v>599</v>
      </c>
      <c r="E48" s="111" t="str">
        <f>+VLOOKUP(A48,'Actividades de control'!$B$18:$K$122,3,0)</f>
        <v xml:space="preserve">Dimension de Gestion con Valores para el Resultado
Politica de Fortalecimiento Organizacional y Simplificacion de Procesos.
</v>
      </c>
      <c r="F48" s="111" t="str">
        <f>+VLOOKUP(A48,'Actividades de control'!$B$18:$K$122,10,0)</f>
        <v>Mantenimiento del control</v>
      </c>
      <c r="G48" s="111">
        <f>+VLOOKUP(A48,'Actividades de control'!$B$13:$N$176,13,0)</f>
        <v>223.96539999999999</v>
      </c>
      <c r="H48" s="113">
        <f t="shared" si="3"/>
        <v>51</v>
      </c>
      <c r="I48" s="111" t="str">
        <f t="shared" si="8"/>
        <v>Cuando en el análisis de los requerimientos en los diferenes componentes del MECI se cuente con aspectos evaluados en nivel 2 (presente) y 3 (funcionando).</v>
      </c>
      <c r="J48" s="111" t="s">
        <v>677</v>
      </c>
      <c r="K48" s="111">
        <f>+IF(ISBLANK(VLOOKUP(A48,'Actividades de control'!$B$21:$F$122,5,0)),"",VLOOKUP(A48,'Actividades de control'!$B$21:$F$122,5,0))</f>
        <v>3</v>
      </c>
      <c r="L48" s="111">
        <f>+IF(ISBLANK(VLOOKUP(A48,'Actividades de control'!$B$21:$J$122,9,0)),"",VLOOKUP(A48,'Actividades de control'!$B$21:$J$122,9,0))</f>
        <v>3</v>
      </c>
      <c r="M48" s="111">
        <f t="shared" si="5"/>
        <v>1</v>
      </c>
      <c r="N48" s="111">
        <f t="shared" si="4"/>
        <v>0.79166666666666663</v>
      </c>
      <c r="O48" s="111"/>
      <c r="P48" s="111"/>
    </row>
    <row r="49" spans="1:16">
      <c r="A49" s="111" t="s">
        <v>680</v>
      </c>
      <c r="B49" s="111" t="str">
        <f t="shared" si="9"/>
        <v>11</v>
      </c>
      <c r="C49" s="111" t="str">
        <f>+MID(VLOOKUP(A49,'Actividades de control'!$B$13:$C$176,2,0),5,LEN(VLOOKUP(A49,'Actividades de control'!$B$13:$C$176,2,0))-5)</f>
        <v xml:space="preserve"> Se cuenta con información de la 3a línea de defensa, como evaluador independiente en relación con los controles implementados por el proveedor de servicios, para  asegurar que los riesgos relacionados se mitigan.</v>
      </c>
      <c r="D49" s="111" t="s">
        <v>599</v>
      </c>
      <c r="E49" s="111" t="str">
        <f>+VLOOKUP(A49,'Actividades de control'!$B$18:$K$122,3,0)</f>
        <v>Dimension Control Interno
Tercera Linea de Defensa</v>
      </c>
      <c r="F49" s="111" t="str">
        <f>+VLOOKUP(A49,'Actividades de control'!$B$18:$K$122,10,0)</f>
        <v>Deficiencia de control (diseño o ejecución)</v>
      </c>
      <c r="G49" s="111">
        <f>+VLOOKUP(A49,'Actividades de control'!$B$13:$N$176,13,0)</f>
        <v>184.01230000000001</v>
      </c>
      <c r="H49" s="113">
        <f t="shared" si="3"/>
        <v>43</v>
      </c>
      <c r="I49" s="111" t="str">
        <f t="shared" si="8"/>
        <v>Cuando en el análisis de los requerimientos en los diferenes componentes del MECI se cuente con aspectos evaluados en nivel 1 (presente) y 1 (funcionando); 2 (presente) y 1 (funcionando).</v>
      </c>
      <c r="J49" s="111" t="s">
        <v>677</v>
      </c>
      <c r="K49" s="111">
        <f>+IF(ISBLANK(VLOOKUP(A49,'Actividades de control'!$B$21:$F$122,5,0)),"",VLOOKUP(A49,'Actividades de control'!$B$21:$F$122,5,0))</f>
        <v>3</v>
      </c>
      <c r="L49" s="111">
        <f>+IF(ISBLANK(VLOOKUP(A49,'Actividades de control'!$B$21:$J$122,9,0)),"",VLOOKUP(A49,'Actividades de control'!$B$21:$J$122,9,0))</f>
        <v>2</v>
      </c>
      <c r="M49" s="111">
        <f t="shared" si="5"/>
        <v>0.5</v>
      </c>
      <c r="N49" s="111">
        <f t="shared" si="4"/>
        <v>0.79166666666666663</v>
      </c>
      <c r="O49" s="111"/>
      <c r="P49" s="111"/>
    </row>
    <row r="50" spans="1:16">
      <c r="A50" s="111" t="s">
        <v>681</v>
      </c>
      <c r="B50" s="111" t="str">
        <f t="shared" si="9"/>
        <v>12</v>
      </c>
      <c r="C50" s="111" t="str">
        <f>+MID(VLOOKUP(A50,'Actividades de control'!$B$13:$C$176,2,0),5,LEN(VLOOKUP(A50,'Actividades de control'!$B$13:$C$176,2,0))-5)</f>
        <v xml:space="preserve"> Se evalúa la actualización de procesos, procedimientos, políticas de operación, instructivos, manuales u otras herramientas para garantizar la aplicación adecuada de las principales actividades de control.
</v>
      </c>
      <c r="D50" s="111" t="s">
        <v>599</v>
      </c>
      <c r="E50" s="111" t="str">
        <f>+VLOOKUP(A50,'Actividades de control'!$B$18:$K$122,3,0)</f>
        <v>Dimension de Gestion con Valores para el Resultado
Politica de Fortalecimiento Organizacional y Simplificacion de Procesos.</v>
      </c>
      <c r="F50" s="111" t="str">
        <f>+VLOOKUP(A50,'Actividades de control'!$B$18:$K$122,10,0)</f>
        <v>Deficiencia de control (diseño o ejecución)</v>
      </c>
      <c r="G50" s="111">
        <f>+VLOOKUP(A50,'Actividades de control'!$B$13:$N$176,13,0)</f>
        <v>184.12360000000001</v>
      </c>
      <c r="H50" s="113">
        <f t="shared" si="3"/>
        <v>44</v>
      </c>
      <c r="I50" s="111" t="str">
        <f t="shared" si="8"/>
        <v>Cuando en el análisis de los requerimientos en los diferenes componentes del MECI se cuente con aspectos evaluados en nivel 1 (presente) y 1 (funcionando); 2 (presente) y 1 (funcionando).</v>
      </c>
      <c r="J50" s="111" t="s">
        <v>682</v>
      </c>
      <c r="K50" s="111">
        <f>+IF(ISBLANK(VLOOKUP(A50,'Actividades de control'!$B$21:$F$122,5,0)),"",VLOOKUP(A50,'Actividades de control'!$B$21:$F$122,5,0))</f>
        <v>3</v>
      </c>
      <c r="L50" s="111">
        <f>+IF(ISBLANK(VLOOKUP(A50,'Actividades de control'!$B$21:$J$122,9,0)),"",VLOOKUP(A50,'Actividades de control'!$B$21:$J$122,9,0))</f>
        <v>2</v>
      </c>
      <c r="M50" s="111">
        <f t="shared" si="5"/>
        <v>0.5</v>
      </c>
      <c r="N50" s="111">
        <f t="shared" si="4"/>
        <v>0.79166666666666663</v>
      </c>
      <c r="O50" s="111"/>
      <c r="P50" s="111"/>
    </row>
    <row r="51" spans="1:16">
      <c r="A51" s="111" t="s">
        <v>683</v>
      </c>
      <c r="B51" s="111" t="str">
        <f t="shared" si="9"/>
        <v>12</v>
      </c>
      <c r="C51" s="111" t="str">
        <f>+MID(VLOOKUP(A51,'Actividades de control'!$B$13:$C$176,2,0),6,LEN(VLOOKUP(A51,'Actividades de control'!$B$13:$C$176,2,0))-6)</f>
        <v xml:space="preserve"> El diseño de controles se evalúa frente a la gestión del riesgo</v>
      </c>
      <c r="D51" s="111" t="s">
        <v>599</v>
      </c>
      <c r="E51" s="111" t="str">
        <f>+VLOOKUP(A51,'Actividades de control'!$B$18:$K$122,3,0)</f>
        <v xml:space="preserve">Todas las Dimensiones de MIPG 
</v>
      </c>
      <c r="F51" s="111" t="str">
        <f>+VLOOKUP(A51,'Actividades de control'!$B$18:$K$122,10,0)</f>
        <v>Mantenimiento del control</v>
      </c>
      <c r="G51" s="111">
        <f>+VLOOKUP(A51,'Actividades de control'!$B$13:$N$176,13,0)</f>
        <v>224.23650000000001</v>
      </c>
      <c r="H51" s="113">
        <f t="shared" si="3"/>
        <v>52</v>
      </c>
      <c r="I51" s="111" t="str">
        <f t="shared" si="8"/>
        <v>Cuando en el análisis de los requerimientos en los diferenes componentes del MECI se cuente con aspectos evaluados en nivel 2 (presente) y 3 (funcionando).</v>
      </c>
      <c r="J51" s="111" t="s">
        <v>682</v>
      </c>
      <c r="K51" s="111">
        <f>+IF(ISBLANK(VLOOKUP(A51,'Actividades de control'!$B$21:$F$122,5,0)),"",VLOOKUP(A51,'Actividades de control'!$B$21:$F$122,5,0))</f>
        <v>3</v>
      </c>
      <c r="L51" s="111">
        <f>+IF(ISBLANK(VLOOKUP(A51,'Actividades de control'!$B$21:$J$122,9,0)),"",VLOOKUP(A51,'Actividades de control'!$B$21:$J$122,9,0))</f>
        <v>3</v>
      </c>
      <c r="M51" s="111">
        <f t="shared" si="5"/>
        <v>1</v>
      </c>
      <c r="N51" s="111">
        <f t="shared" si="4"/>
        <v>0.79166666666666663</v>
      </c>
      <c r="O51" s="111"/>
      <c r="P51" s="111"/>
    </row>
    <row r="52" spans="1:16">
      <c r="A52" s="111" t="s">
        <v>684</v>
      </c>
      <c r="B52" s="111" t="str">
        <f t="shared" si="9"/>
        <v>12</v>
      </c>
      <c r="C52" s="111" t="str">
        <f>+MID(VLOOKUP(A52,'Actividades de control'!$B$13:$C$176,2,0),6,LEN(VLOOKUP(A52,'Actividades de control'!$B$13:$C$176,2,0))-6)</f>
        <v xml:space="preserve"> Monitoreo a los riesgos acorde con la política de administración de riesgo establecida para la entidad.</v>
      </c>
      <c r="D52" s="111" t="s">
        <v>599</v>
      </c>
      <c r="E52" s="111" t="str">
        <f>+VLOOKUP(A52,'Actividades de control'!$B$18:$K$122,3,0)</f>
        <v>Dimension de Direccionamiento Estrategico y Planeacion
Politica de Planeacion Institucional.</v>
      </c>
      <c r="F52" s="111" t="str">
        <f>+VLOOKUP(A52,'Actividades de control'!$B$18:$K$122,10,0)</f>
        <v>Deficiencia de control (diseño o ejecución)</v>
      </c>
      <c r="G52" s="111">
        <f>+VLOOKUP(A52,'Actividades de control'!$B$13:$N$176,13,0)</f>
        <v>184.23656</v>
      </c>
      <c r="H52" s="113">
        <f t="shared" si="3"/>
        <v>45</v>
      </c>
      <c r="I52" s="111" t="str">
        <f t="shared" si="8"/>
        <v>Cuando en el análisis de los requerimientos en los diferenes componentes del MECI se cuente con aspectos evaluados en nivel 1 (presente) y 1 (funcionando); 2 (presente) y 1 (funcionando).</v>
      </c>
      <c r="J52" s="111" t="s">
        <v>682</v>
      </c>
      <c r="K52" s="111">
        <f>+IF(ISBLANK(VLOOKUP(A52,'Actividades de control'!$B$21:$F$122,5,0)),"",VLOOKUP(A52,'Actividades de control'!$B$21:$F$122,5,0))</f>
        <v>3</v>
      </c>
      <c r="L52" s="111">
        <f>+IF(ISBLANK(VLOOKUP(A52,'Actividades de control'!$B$21:$J$122,9,0)),"",VLOOKUP(A52,'Actividades de control'!$B$21:$J$122,9,0))</f>
        <v>2</v>
      </c>
      <c r="M52" s="111">
        <f t="shared" si="5"/>
        <v>0.5</v>
      </c>
      <c r="N52" s="111">
        <f t="shared" si="4"/>
        <v>0.79166666666666663</v>
      </c>
      <c r="O52" s="111"/>
      <c r="P52" s="111"/>
    </row>
    <row r="53" spans="1:16">
      <c r="A53" s="111" t="s">
        <v>685</v>
      </c>
      <c r="B53" s="111" t="str">
        <f t="shared" si="9"/>
        <v>12</v>
      </c>
      <c r="C53" s="111" t="str">
        <f>+MID(VLOOKUP(A53,'Actividades de control'!$B$13:$C$176,2,0),6,LEN(VLOOKUP(A53,'Actividades de control'!$B$13:$C$176,2,0))-6)</f>
        <v>Verificación de que los responsables estén ejecutando los controles tal como han sido diseñados</v>
      </c>
      <c r="D53" s="111" t="s">
        <v>599</v>
      </c>
      <c r="E53" s="111" t="str">
        <f>+VLOOKUP(A53,'Actividades de control'!$B$18:$K$122,3,0)</f>
        <v>Dimension Control Interno
Segunda Linea de Defensa</v>
      </c>
      <c r="F53" s="111" t="str">
        <f>+VLOOKUP(A53,'Actividades de control'!$B$18:$K$122,10,0)</f>
        <v>Deficiencia de control (diseño o ejecución)</v>
      </c>
      <c r="G53" s="111">
        <f>+VLOOKUP(A53,'Actividades de control'!$B$13:$N$176,13,0)</f>
        <v>184.23656800000001</v>
      </c>
      <c r="H53" s="113">
        <f t="shared" ref="H53" si="10">+_xlfn.RANK.EQ(G53,$G$2:$G$82,1)</f>
        <v>46</v>
      </c>
      <c r="I53" s="111" t="str">
        <f t="shared" si="8"/>
        <v>Cuando en el análisis de los requerimientos en los diferenes componentes del MECI se cuente con aspectos evaluados en nivel 1 (presente) y 1 (funcionando); 2 (presente) y 1 (funcionando).</v>
      </c>
      <c r="J53" s="111" t="s">
        <v>682</v>
      </c>
      <c r="K53" s="111">
        <f>+IF(ISBLANK(VLOOKUP(A53,'Actividades de control'!$B$21:$F$122,5,0)),"",VLOOKUP(A53,'Actividades de control'!$B$21:$F$122,5,0))</f>
        <v>3</v>
      </c>
      <c r="L53" s="111">
        <f>+IF(ISBLANK(VLOOKUP(A53,'Actividades de control'!$B$21:$J$122,9,0)),"",VLOOKUP(A53,'Actividades de control'!$B$21:$J$122,9,0))</f>
        <v>2</v>
      </c>
      <c r="M53" s="111">
        <f t="shared" si="5"/>
        <v>0.5</v>
      </c>
      <c r="N53" s="111">
        <f t="shared" ref="N53" si="11">+AVERAGEIF($D$2:$D$82,D53,$M$2:$M$82)</f>
        <v>0.79166666666666663</v>
      </c>
      <c r="O53" s="111"/>
      <c r="P53" s="111"/>
    </row>
    <row r="54" spans="1:16">
      <c r="A54" s="111" t="s">
        <v>686</v>
      </c>
      <c r="B54" s="111" t="str">
        <f t="shared" si="9"/>
        <v>12</v>
      </c>
      <c r="C54" s="111" t="str">
        <f>+MID(VLOOKUP(A54,'Actividades de control'!$B$13:$C$176,2,0),6,LEN(VLOOKUP(A54,'Actividades de control'!$B$13:$C$176,2,0))-6)</f>
        <v xml:space="preserve"> Se evalúa la adecuación de los controles a las especificidades de cada proceso, considerando cambios en regulaciones, estructuras internas u otros aspectos que determinen cambios en su diseño</v>
      </c>
      <c r="D54" s="111" t="s">
        <v>599</v>
      </c>
      <c r="E54" s="111" t="str">
        <f>+VLOOKUP(A54,'Actividades de control'!$B$18:$K$122,3,0)</f>
        <v>Dimension Control Interno
 Lineas de Defensa</v>
      </c>
      <c r="F54" s="111" t="str">
        <f>+VLOOKUP(A54,'Actividades de control'!$B$18:$K$122,10,0)</f>
        <v>Mantenimiento del control</v>
      </c>
      <c r="G54" s="111">
        <f>+VLOOKUP(A54,'Actividades de control'!$B$13:$N$176,13,0)</f>
        <v>224.3569</v>
      </c>
      <c r="H54" s="113">
        <f t="shared" ref="H54" si="12">+_xlfn.RANK.EQ(G54,$G$2:$G$82,1)</f>
        <v>53</v>
      </c>
      <c r="I54" s="111" t="str">
        <f t="shared" si="8"/>
        <v>Cuando en el análisis de los requerimientos en los diferenes componentes del MECI se cuente con aspectos evaluados en nivel 2 (presente) y 3 (funcionando).</v>
      </c>
      <c r="J54" s="111" t="s">
        <v>682</v>
      </c>
      <c r="K54" s="111">
        <f>+IF(ISBLANK(VLOOKUP(A54,'Actividades de control'!$B$21:$F$122,5,0)),"",VLOOKUP(A54,'Actividades de control'!$B$21:$F$122,5,0))</f>
        <v>3</v>
      </c>
      <c r="L54" s="111">
        <f>+IF(ISBLANK(VLOOKUP(A54,'Actividades de control'!$B$21:$J$122,9,0)),"",VLOOKUP(A54,'Actividades de control'!$B$21:$J$122,9,0))</f>
        <v>3</v>
      </c>
      <c r="M54" s="111">
        <f t="shared" si="5"/>
        <v>1</v>
      </c>
      <c r="N54" s="111">
        <f t="shared" ref="N54" si="13">+AVERAGEIF($D$2:$D$82,D54,$M$2:$M$82)</f>
        <v>0.79166666666666663</v>
      </c>
      <c r="O54" s="111"/>
      <c r="P54" s="111"/>
    </row>
    <row r="55" spans="1:16" ht="12.75" customHeight="1">
      <c r="A55" s="111" t="s">
        <v>687</v>
      </c>
      <c r="B55" s="111" t="str">
        <f t="shared" si="9"/>
        <v>13</v>
      </c>
      <c r="C55" s="111" t="str">
        <f>+MID(VLOOKUP(A55,'Info y Comunicación'!$B$13:$C$160,2,0),6,LEN(VLOOKUP(A55,'Info y Comunicación'!$B$13:$C$160,2,0))-6)</f>
        <v>La entidad ha diseñado sistemas de información para capturar y procesar datos y transformarlos en información para alcanzar los requerimientos de información definidos</v>
      </c>
      <c r="D55" s="111" t="s">
        <v>688</v>
      </c>
      <c r="E55" s="111" t="str">
        <f>+VLOOKUP(A55,'Info y Comunicación'!$B$15:$K$138,3,0)</f>
        <v xml:space="preserve">Dimension de Informacion y comunicación 
</v>
      </c>
      <c r="F55" s="111" t="str">
        <f>+VLOOKUP(A55,'Info y Comunicación'!$B$15:$K$138,10,0)</f>
        <v>Mantenimiento del control</v>
      </c>
      <c r="G55" s="111">
        <f>+VLOOKUP(A55,'Info y Comunicación'!$B$13:$N$160,13,0)</f>
        <v>304.45690000000002</v>
      </c>
      <c r="H55" s="113">
        <f t="shared" si="3"/>
        <v>61</v>
      </c>
      <c r="I55" s="111" t="str">
        <f t="shared" si="8"/>
        <v>Cuando en el análisis de los requerimientos en los diferenes componentes del MECI se cuente con aspectos evaluados en nivel 2 (presente) y 3 (funcionando).</v>
      </c>
      <c r="J55" s="111" t="s">
        <v>689</v>
      </c>
      <c r="K55" s="111">
        <f>+IF(ISBLANK(VLOOKUP(A55,'Info y Comunicación'!$B$19:$F$138,5,0)),"",VLOOKUP(A55,'Info y Comunicación'!$B$19:$F$138,5,0))</f>
        <v>3</v>
      </c>
      <c r="L55" s="111">
        <f>+IF(ISBLANK(VLOOKUP(A55,'Info y Comunicación'!$B$19:$J$138,9,0)),"",VLOOKUP(A55,'Info y Comunicación'!$B$19:$J$138,9,0))</f>
        <v>3</v>
      </c>
      <c r="M55" s="111">
        <f t="shared" si="5"/>
        <v>1</v>
      </c>
      <c r="N55" s="111">
        <f>+AVERAGEIF($D$2:$D$82,D55,$M$2:$M$82)</f>
        <v>0.75</v>
      </c>
      <c r="O55" s="111"/>
      <c r="P55" s="111"/>
    </row>
    <row r="56" spans="1:16" ht="12.75" customHeight="1">
      <c r="A56" s="111" t="s">
        <v>690</v>
      </c>
      <c r="B56" s="111" t="str">
        <f t="shared" si="9"/>
        <v>13</v>
      </c>
      <c r="C56" s="111" t="str">
        <f>+MID(VLOOKUP(A56,'Info y Comunicación'!$B$13:$C$160,2,0),6,LEN(VLOOKUP(A56,'Info y Comunicación'!$B$13:$C$160,2,0))-6)</f>
        <v xml:space="preserve"> La entidad cuenta con el inventario de información relevante (interno/externa) y cuenta con un mecanismo que permita su actualización</v>
      </c>
      <c r="D56" s="111" t="s">
        <v>688</v>
      </c>
      <c r="E56" s="111" t="str">
        <f>+VLOOKUP(A56,'Info y Comunicación'!$B$15:$K$138,3,0)</f>
        <v>Dimension de Informacion y comunicación 
Politica de Transparencia y Acceso a la Informaciòn Publica</v>
      </c>
      <c r="F56" s="111" t="str">
        <f>+VLOOKUP(A56,'Info y Comunicación'!$B$15:$K$138,10,0)</f>
        <v>Mantenimiento del control</v>
      </c>
      <c r="G56" s="111">
        <f>+VLOOKUP(A56,'Info y Comunicación'!$B$13:$N$160,13,0)</f>
        <v>304.56319999999999</v>
      </c>
      <c r="H56" s="113">
        <f t="shared" si="3"/>
        <v>62</v>
      </c>
      <c r="I56" s="111" t="str">
        <f t="shared" si="8"/>
        <v>Cuando en el análisis de los requerimientos en los diferenes componentes del MECI se cuente con aspectos evaluados en nivel 2 (presente) y 3 (funcionando).</v>
      </c>
      <c r="J56" s="111" t="s">
        <v>689</v>
      </c>
      <c r="K56" s="111">
        <f>+IF(ISBLANK(VLOOKUP(A56,'Info y Comunicación'!$B$19:$F$138,5,0)),"",VLOOKUP(A56,'Info y Comunicación'!$B$19:$F$138,5,0))</f>
        <v>3</v>
      </c>
      <c r="L56" s="111">
        <f>+IF(ISBLANK(VLOOKUP(A56,'Info y Comunicación'!$B$19:$J$138,9,0)),"",VLOOKUP(A56,'Info y Comunicación'!$B$19:$J$138,9,0))</f>
        <v>3</v>
      </c>
      <c r="M56" s="111">
        <f t="shared" si="5"/>
        <v>1</v>
      </c>
      <c r="N56" s="111">
        <f t="shared" si="4"/>
        <v>0.75</v>
      </c>
      <c r="O56" s="111"/>
      <c r="P56" s="111"/>
    </row>
    <row r="57" spans="1:16" ht="12.75" customHeight="1">
      <c r="A57" s="111" t="s">
        <v>691</v>
      </c>
      <c r="B57" s="111" t="str">
        <f t="shared" si="9"/>
        <v>13</v>
      </c>
      <c r="C57" s="111" t="str">
        <f>+MID(VLOOKUP(A57,'Info y Comunicación'!$B$13:$C$160,2,0),6,LEN(VLOOKUP(A57,'Info y Comunicación'!$B$13:$C$160,2,0))-6)</f>
        <v>La entidad considera un ámbito amplio de fuentes de datos (internas y externas), para la captura y procesamiento posterior de información clave para la consecución de metas y objetivos</v>
      </c>
      <c r="D57" s="111" t="s">
        <v>688</v>
      </c>
      <c r="E57" s="111" t="str">
        <f>+VLOOKUP(A57,'Info y Comunicación'!$B$15:$K$138,3,0)</f>
        <v>Dimension de Informacion y comunicación 
Politica de Transparencia y Acceso a la Informaciòn Publica</v>
      </c>
      <c r="F57" s="111" t="str">
        <f>+VLOOKUP(A57,'Info y Comunicación'!$B$15:$K$138,10,0)</f>
        <v>Mantenimiento del control</v>
      </c>
      <c r="G57" s="111">
        <f>+VLOOKUP(A57,'Info y Comunicación'!$B$13:$N$160,13,0)</f>
        <v>304.63209999999998</v>
      </c>
      <c r="H57" s="113">
        <f t="shared" si="3"/>
        <v>63</v>
      </c>
      <c r="I57" s="111" t="str">
        <f t="shared" si="8"/>
        <v>Cuando en el análisis de los requerimientos en los diferenes componentes del MECI se cuente con aspectos evaluados en nivel 2 (presente) y 3 (funcionando).</v>
      </c>
      <c r="J57" s="111" t="s">
        <v>689</v>
      </c>
      <c r="K57" s="111">
        <f>+IF(ISBLANK(VLOOKUP(A57,'Info y Comunicación'!$B$19:$F$138,5,0)),"",VLOOKUP(A57,'Info y Comunicación'!$B$19:$F$138,5,0))</f>
        <v>3</v>
      </c>
      <c r="L57" s="111">
        <f>+IF(ISBLANK(VLOOKUP(A57,'Info y Comunicación'!$B$19:$J$138,9,0)),"",VLOOKUP(A57,'Info y Comunicación'!$B$19:$J$138,9,0))</f>
        <v>3</v>
      </c>
      <c r="M57" s="111">
        <f t="shared" si="5"/>
        <v>1</v>
      </c>
      <c r="N57" s="111">
        <f t="shared" si="4"/>
        <v>0.75</v>
      </c>
      <c r="O57" s="111"/>
      <c r="P57" s="111"/>
    </row>
    <row r="58" spans="1:16" ht="12.75" customHeight="1">
      <c r="A58" s="111" t="s">
        <v>692</v>
      </c>
      <c r="B58" s="111" t="str">
        <f t="shared" si="9"/>
        <v>13</v>
      </c>
      <c r="C58" s="111" t="str">
        <f>+MID(VLOOKUP(A58,'Info y Comunicación'!$B$13:$C$160,2,0),6,LEN(VLOOKUP(A58,'Info y Comunicación'!$B$13:$C$160,2,0))-6)</f>
        <v>La entidad ha desarrollado e implementado actividades de control sobre la integridad, confidencialidad y disponibilidad de los datos e información definidos como relevantes</v>
      </c>
      <c r="D58" s="111" t="s">
        <v>688</v>
      </c>
      <c r="E58" s="111" t="str">
        <f>+VLOOKUP(A58,'Info y Comunicación'!$B$15:$K$138,3,0)</f>
        <v>Dimension de Informacion y comunicación 
Politica de Transparencia y Acceso a la Informaciòn Publica</v>
      </c>
      <c r="F58" s="111" t="str">
        <f>+VLOOKUP(A58,'Info y Comunicación'!$B$15:$K$138,10,0)</f>
        <v>Mantenimiento del control</v>
      </c>
      <c r="G58" s="111">
        <f>+VLOOKUP(A58,'Info y Comunicación'!$B$13:$N$160,13,0)</f>
        <v>304.78960000000001</v>
      </c>
      <c r="H58" s="113">
        <f t="shared" si="3"/>
        <v>64</v>
      </c>
      <c r="I58" s="111" t="str">
        <f t="shared" si="8"/>
        <v>Cuando en el análisis de los requerimientos en los diferenes componentes del MECI se cuente con aspectos evaluados en nivel 2 (presente) y 3 (funcionando).</v>
      </c>
      <c r="J58" s="111" t="s">
        <v>689</v>
      </c>
      <c r="K58" s="111">
        <f>+IF(ISBLANK(VLOOKUP(A58,'Info y Comunicación'!$B$19:$F$138,5,0)),"",VLOOKUP(A58,'Info y Comunicación'!$B$19:$F$138,5,0))</f>
        <v>3</v>
      </c>
      <c r="L58" s="111">
        <f>+IF(ISBLANK(VLOOKUP(A58,'Info y Comunicación'!$B$19:$J$138,9,0)),"",VLOOKUP(A58,'Info y Comunicación'!$B$19:$J$138,9,0))</f>
        <v>3</v>
      </c>
      <c r="M58" s="111">
        <f t="shared" si="5"/>
        <v>1</v>
      </c>
      <c r="N58" s="111">
        <f t="shared" si="4"/>
        <v>0.75</v>
      </c>
      <c r="O58" s="111"/>
      <c r="P58" s="111"/>
    </row>
    <row r="59" spans="1:16" ht="12.75" customHeight="1">
      <c r="A59" s="111" t="s">
        <v>693</v>
      </c>
      <c r="B59" s="111" t="str">
        <f t="shared" si="9"/>
        <v>14</v>
      </c>
      <c r="C59" s="111" t="str">
        <f>+MID(VLOOKUP(A59,'Info y Comunicación'!$B$13:$C$160,2,0),6,LEN(VLOOKUP(A59,'Info y Comunicación'!$B$13:$C$160,2,0))-6)</f>
        <v>Para la comunicación interna la Alta Dirección tiene mecanismos que permitan dar a conocer los objetivos y metas estratégicas, de manera tal que todo el personal entiende su papel en su consecución. (Considera los canales más apropiados y evalúa su efectividad)</v>
      </c>
      <c r="D59" s="111" t="s">
        <v>688</v>
      </c>
      <c r="E59" s="111" t="str">
        <f>+VLOOKUP(A59,'Info y Comunicación'!$B$15:$K$138,3,0)</f>
        <v xml:space="preserve">Dimension de Informacion y comunicación
</v>
      </c>
      <c r="F59" s="111" t="str">
        <f>+VLOOKUP(A59,'Info y Comunicación'!$B$15:$K$138,10,0)</f>
        <v>Deficiencia de control (diseño o ejecución)</v>
      </c>
      <c r="G59" s="111">
        <f>+VLOOKUP(A59,'Info y Comunicación'!$B$13:$N$160,13,0)</f>
        <v>264.8965</v>
      </c>
      <c r="H59" s="113">
        <f t="shared" si="3"/>
        <v>54</v>
      </c>
      <c r="I59" s="111" t="str">
        <f t="shared" si="8"/>
        <v>Cuando en el análisis de los requerimientos en los diferenes componentes del MECI se cuente con aspectos evaluados en nivel 1 (presente) y 1 (funcionando); 2 (presente) y 1 (funcionando).</v>
      </c>
      <c r="J59" s="111" t="s">
        <v>694</v>
      </c>
      <c r="K59" s="111">
        <f>+IF(ISBLANK(VLOOKUP(A59,'Info y Comunicación'!$B$19:$F$138,5,0)),"",VLOOKUP(A59,'Info y Comunicación'!$B$19:$F$138,5,0))</f>
        <v>3</v>
      </c>
      <c r="L59" s="111">
        <f>+IF(ISBLANK(VLOOKUP(A59,'Info y Comunicación'!$B$19:$J$138,9,0)),"",VLOOKUP(A59,'Info y Comunicación'!$B$19:$J$138,9,0))</f>
        <v>2</v>
      </c>
      <c r="M59" s="111">
        <f t="shared" si="5"/>
        <v>0.5</v>
      </c>
      <c r="N59" s="111">
        <f t="shared" si="4"/>
        <v>0.75</v>
      </c>
      <c r="O59" s="111"/>
      <c r="P59" s="111"/>
    </row>
    <row r="60" spans="1:16" ht="12.75" customHeight="1">
      <c r="A60" s="111" t="s">
        <v>695</v>
      </c>
      <c r="B60" s="111" t="str">
        <f t="shared" si="9"/>
        <v>14</v>
      </c>
      <c r="C60" s="111" t="str">
        <f>+MID(VLOOKUP(A60,'Info y Comunicación'!$B$13:$C$160,2,0),6,LEN(VLOOKUP(A60,'Info y Comunicación'!$B$13:$C$160,2,0))-6)</f>
        <v>La entidad cuenta con políticas de operación relacionadas con la administración de la información (niveles de autoridad y responsabilidad</v>
      </c>
      <c r="D60" s="111" t="s">
        <v>688</v>
      </c>
      <c r="E60" s="111" t="str">
        <f>+VLOOKUP(A60,'Info y Comunicación'!$B$15:$K$138,3,0)</f>
        <v xml:space="preserve">Dimension de Informacion y comunicación
</v>
      </c>
      <c r="F60" s="111" t="str">
        <f>+VLOOKUP(A60,'Info y Comunicación'!$B$15:$K$138,10,0)</f>
        <v>Deficiencia de control (diseño o ejecución)</v>
      </c>
      <c r="G60" s="111">
        <f>+VLOOKUP(A60,'Info y Comunicación'!$B$13:$N$160,13,0)</f>
        <v>264.98540000000003</v>
      </c>
      <c r="H60" s="113">
        <f t="shared" si="3"/>
        <v>55</v>
      </c>
      <c r="I60" s="111" t="str">
        <f t="shared" si="8"/>
        <v>Cuando en el análisis de los requerimientos en los diferenes componentes del MECI se cuente con aspectos evaluados en nivel 1 (presente) y 1 (funcionando); 2 (presente) y 1 (funcionando).</v>
      </c>
      <c r="J60" s="111" t="s">
        <v>694</v>
      </c>
      <c r="K60" s="111">
        <f>+IF(ISBLANK(VLOOKUP(A60,'Info y Comunicación'!$B$19:$F$138,5,0)),"",VLOOKUP(A60,'Info y Comunicación'!$B$19:$F$138,5,0))</f>
        <v>3</v>
      </c>
      <c r="L60" s="111">
        <f>+IF(ISBLANK(VLOOKUP(A60,'Info y Comunicación'!$B$19:$J$138,9,0)),"",VLOOKUP(A60,'Info y Comunicación'!$B$19:$J$138,9,0))</f>
        <v>2</v>
      </c>
      <c r="M60" s="111">
        <f t="shared" si="5"/>
        <v>0.5</v>
      </c>
      <c r="N60" s="111">
        <f t="shared" si="4"/>
        <v>0.75</v>
      </c>
      <c r="O60" s="111"/>
      <c r="P60" s="111"/>
    </row>
    <row r="61" spans="1:16" ht="12.75" customHeight="1">
      <c r="A61" s="111" t="s">
        <v>696</v>
      </c>
      <c r="B61" s="111" t="str">
        <f t="shared" si="9"/>
        <v>14</v>
      </c>
      <c r="C61" s="111" t="str">
        <f>+MID(VLOOKUP(A61,'Info y Comunicación'!$B$13:$C$160,2,0),6,LEN(VLOOKUP(A61,'Info y Comunicación'!$B$13:$C$160,2,0))-6)</f>
        <v>La entidad cuenta con canales de información internos para la denuncia anónima o confidencial de posibles situaciones irregulares y se cuenta con mecanismos específicos para su manejo, de manera tal que generen la confianza para utilizarlos</v>
      </c>
      <c r="D61" s="111" t="s">
        <v>688</v>
      </c>
      <c r="E61" s="111" t="str">
        <f>+VLOOKUP(A61,'Info y Comunicación'!$B$15:$K$138,3,0)</f>
        <v xml:space="preserve">Dimension de Informacion y comunicación
</v>
      </c>
      <c r="F61" s="111" t="str">
        <f>+VLOOKUP(A61,'Info y Comunicación'!$B$15:$K$138,10,0)</f>
        <v>Mantenimiento del control</v>
      </c>
      <c r="G61" s="111">
        <f>+VLOOKUP(A61,'Info y Comunicación'!$B$13:$N$160,13,0)</f>
        <v>305.01229999999998</v>
      </c>
      <c r="H61" s="113">
        <f t="shared" si="3"/>
        <v>65</v>
      </c>
      <c r="I61" s="111" t="str">
        <f t="shared" si="8"/>
        <v>Cuando en el análisis de los requerimientos en los diferenes componentes del MECI se cuente con aspectos evaluados en nivel 2 (presente) y 3 (funcionando).</v>
      </c>
      <c r="J61" s="111" t="s">
        <v>694</v>
      </c>
      <c r="K61" s="111">
        <f>+IF(ISBLANK(VLOOKUP(A61,'Info y Comunicación'!$B$19:$F$138,5,0)),"",VLOOKUP(A61,'Info y Comunicación'!$B$19:$F$138,5,0))</f>
        <v>3</v>
      </c>
      <c r="L61" s="111">
        <f>+IF(ISBLANK(VLOOKUP(A61,'Info y Comunicación'!$B$19:$J$138,9,0)),"",VLOOKUP(A61,'Info y Comunicación'!$B$19:$J$138,9,0))</f>
        <v>3</v>
      </c>
      <c r="M61" s="111">
        <f t="shared" si="5"/>
        <v>1</v>
      </c>
      <c r="N61" s="111">
        <f t="shared" si="4"/>
        <v>0.75</v>
      </c>
      <c r="O61" s="111"/>
      <c r="P61" s="111"/>
    </row>
    <row r="62" spans="1:16" ht="12.75" customHeight="1">
      <c r="A62" s="111" t="s">
        <v>697</v>
      </c>
      <c r="B62" s="111" t="str">
        <f t="shared" si="9"/>
        <v>14</v>
      </c>
      <c r="C62" s="111" t="str">
        <f>+MID(VLOOKUP(A62,'Info y Comunicación'!$B$13:$C$160,2,0),6,LEN(VLOOKUP(A62,'Info y Comunicación'!$B$13:$C$160,2,0))-6)</f>
        <v>La entidad establece e implementa políticas y procedimientos para facilitar una comunicación interna efectiva</v>
      </c>
      <c r="D62" s="111" t="s">
        <v>688</v>
      </c>
      <c r="E62" s="111" t="str">
        <f>+VLOOKUP(A62,'Info y Comunicación'!$B$15:$K$138,3,0)</f>
        <v xml:space="preserve">Dimension de Informacion y comunicación
</v>
      </c>
      <c r="F62" s="111" t="str">
        <f>+VLOOKUP(A62,'Info y Comunicación'!$B$15:$K$138,10,0)</f>
        <v>Deficiencia de control (diseño o ejecución)</v>
      </c>
      <c r="G62" s="111">
        <f>+VLOOKUP(A62,'Info y Comunicación'!$B$13:$N$160,13,0)</f>
        <v>265.12360000000001</v>
      </c>
      <c r="H62" s="113">
        <f t="shared" si="3"/>
        <v>56</v>
      </c>
      <c r="I62" s="111" t="str">
        <f t="shared" si="8"/>
        <v>Cuando en el análisis de los requerimientos en los diferenes componentes del MECI se cuente con aspectos evaluados en nivel 1 (presente) y 1 (funcionando); 2 (presente) y 1 (funcionando).</v>
      </c>
      <c r="J62" s="111" t="s">
        <v>694</v>
      </c>
      <c r="K62" s="111">
        <f>+IF(ISBLANK(VLOOKUP(A62,'Info y Comunicación'!$B$19:$F$138,5,0)),"",VLOOKUP(A62,'Info y Comunicación'!$B$19:$F$138,5,0))</f>
        <v>3</v>
      </c>
      <c r="L62" s="111">
        <f>+IF(ISBLANK(VLOOKUP(A62,'Info y Comunicación'!$B$19:$J$138,9,0)),"",VLOOKUP(A62,'Info y Comunicación'!$B$19:$J$138,9,0))</f>
        <v>2</v>
      </c>
      <c r="M62" s="111">
        <f t="shared" si="5"/>
        <v>0.5</v>
      </c>
      <c r="N62" s="111">
        <f t="shared" si="4"/>
        <v>0.75</v>
      </c>
      <c r="O62" s="111"/>
      <c r="P62" s="111"/>
    </row>
    <row r="63" spans="1:16" ht="12.75" customHeight="1">
      <c r="A63" s="111" t="s">
        <v>698</v>
      </c>
      <c r="B63" s="111" t="str">
        <f t="shared" si="9"/>
        <v>15</v>
      </c>
      <c r="C63" s="111" t="str">
        <f>+MID(VLOOKUP(A63,'Info y Comunicación'!$B$13:$C$160,2,0),6,LEN(VLOOKUP(A63,'Info y Comunicación'!$B$13:$C$160,2,0))-6)</f>
        <v>La entidad desarrolla e implementa controles que facilitan la comunicación externa, la cual incluye  políticas y procedimientos. 
Incluye contratistas y proveedores de servicios tercerizados (cuando aplique).</v>
      </c>
      <c r="D63" s="111" t="s">
        <v>688</v>
      </c>
      <c r="E63" s="111" t="str">
        <f>+VLOOKUP(A63,'Info y Comunicación'!$B$15:$K$138,3,0)</f>
        <v xml:space="preserve">
Dimension de Informacion y Comunicación
Dimension de Control Interno
Primera Linea de Defensa</v>
      </c>
      <c r="F63" s="111" t="str">
        <f>+VLOOKUP(A63,'Info y Comunicación'!$B$15:$K$138,10,0)</f>
        <v>Mantenimiento del control</v>
      </c>
      <c r="G63" s="111">
        <f>+VLOOKUP(A63,'Info y Comunicación'!$B$13:$N$160,13,0)</f>
        <v>305.23689999999999</v>
      </c>
      <c r="H63" s="113">
        <f t="shared" si="3"/>
        <v>66</v>
      </c>
      <c r="I63" s="111" t="str">
        <f t="shared" si="8"/>
        <v>Cuando en el análisis de los requerimientos en los diferenes componentes del MECI se cuente con aspectos evaluados en nivel 2 (presente) y 3 (funcionando).</v>
      </c>
      <c r="J63" s="111" t="s">
        <v>699</v>
      </c>
      <c r="K63" s="111">
        <f>+IF(ISBLANK(VLOOKUP(A63,'Info y Comunicación'!$B$19:$F$138,5,0)),"",VLOOKUP(A63,'Info y Comunicación'!$B$19:$F$138,5,0))</f>
        <v>3</v>
      </c>
      <c r="L63" s="111">
        <f>+IF(ISBLANK(VLOOKUP(A63,'Info y Comunicación'!$B$19:$J$138,9,0)),"",VLOOKUP(A63,'Info y Comunicación'!$B$19:$J$138,9,0))</f>
        <v>3</v>
      </c>
      <c r="M63" s="111">
        <f t="shared" si="5"/>
        <v>1</v>
      </c>
      <c r="N63" s="111">
        <f t="shared" si="4"/>
        <v>0.75</v>
      </c>
      <c r="O63" s="111"/>
      <c r="P63" s="111"/>
    </row>
    <row r="64" spans="1:16">
      <c r="A64" s="111" t="s">
        <v>700</v>
      </c>
      <c r="B64" s="111" t="str">
        <f t="shared" si="9"/>
        <v>15</v>
      </c>
      <c r="C64" s="111" t="str">
        <f>+MID(VLOOKUP(A64,'Info y Comunicación'!$B$13:$C$160,2,0),6,LEN(VLOOKUP(A64,'Info y Comunicación'!$B$13:$C$160,2,0))-6)</f>
        <v>La entidad cuenta con canales externos definidos de comunicación, asociados con el tipo de información a divulgar, y éstos son reconocidos a todo nivel de la organización.</v>
      </c>
      <c r="D64" s="111" t="s">
        <v>688</v>
      </c>
      <c r="E64" s="111" t="str">
        <f>+VLOOKUP(A64,'Info y Comunicación'!$B$15:$K$138,3,0)</f>
        <v xml:space="preserve">Dimension de Informacion y Comunicación
Politica de Transparencia, acceso a la información pública y lucha
contra la corrupción </v>
      </c>
      <c r="F64" s="111" t="str">
        <f>+VLOOKUP(A64,'Info y Comunicación'!$B$15:$K$138,10,0)</f>
        <v>Mantenimiento del control</v>
      </c>
      <c r="G64" s="111">
        <f>+VLOOKUP(A64,'Info y Comunicación'!$B$13:$N$160,13,0)</f>
        <v>305.36540000000002</v>
      </c>
      <c r="H64" s="113">
        <f t="shared" si="3"/>
        <v>67</v>
      </c>
      <c r="I64" s="111" t="str">
        <f t="shared" si="8"/>
        <v>Cuando en el análisis de los requerimientos en los diferenes componentes del MECI se cuente con aspectos evaluados en nivel 2 (presente) y 3 (funcionando).</v>
      </c>
      <c r="J64" s="111" t="s">
        <v>699</v>
      </c>
      <c r="K64" s="111">
        <f>+IF(ISBLANK(VLOOKUP(A64,'Info y Comunicación'!$B$19:$F$138,5,0)),"",VLOOKUP(A64,'Info y Comunicación'!$B$19:$F$138,5,0))</f>
        <v>3</v>
      </c>
      <c r="L64" s="111">
        <f>+IF(ISBLANK(VLOOKUP(A64,'Info y Comunicación'!$B$19:$J$138,9,0)),"",VLOOKUP(A64,'Info y Comunicación'!$B$19:$J$138,9,0))</f>
        <v>3</v>
      </c>
      <c r="M64" s="111">
        <f t="shared" si="5"/>
        <v>1</v>
      </c>
      <c r="N64" s="111">
        <f t="shared" si="4"/>
        <v>0.75</v>
      </c>
      <c r="O64" s="111"/>
      <c r="P64" s="111"/>
    </row>
    <row r="65" spans="1:16">
      <c r="A65" s="111" t="s">
        <v>701</v>
      </c>
      <c r="B65" s="111" t="str">
        <f t="shared" si="9"/>
        <v>15</v>
      </c>
      <c r="C65" s="111" t="str">
        <f>+MID(VLOOKUP(A65,'Info y Comunicación'!$B$13:$C$160,2,0),6,LEN(VLOOKUP(A65,'Info y Comunicación'!$B$13:$C$160,2,0))-6)</f>
        <v>La entidad cuenta con procesos o procedimiento para el manejo de la información entrante (quién la recibe, quién la clasifica, quién la analiza), y a la respuesta requierida (quién la canaliza y la responde)</v>
      </c>
      <c r="D65" s="111" t="s">
        <v>688</v>
      </c>
      <c r="E65" s="111" t="str">
        <f>+VLOOKUP(A65,'Info y Comunicación'!$B$15:$K$138,3,0)</f>
        <v xml:space="preserve">Dimension de Informacion y Comunicación
Politica de Gestion Documental
Politica de Transparencia, acceso a la información pública y lucha
contra la corrupción </v>
      </c>
      <c r="F65" s="111" t="str">
        <f>+VLOOKUP(A65,'Info y Comunicación'!$B$15:$K$138,10,0)</f>
        <v>Deficiencia de control (diseño o ejecución)</v>
      </c>
      <c r="G65" s="111">
        <f>+VLOOKUP(A65,'Info y Comunicación'!$B$13:$N$160,13,0)</f>
        <v>265.4563</v>
      </c>
      <c r="H65" s="113">
        <f t="shared" si="3"/>
        <v>57</v>
      </c>
      <c r="I65" s="111" t="str">
        <f t="shared" si="8"/>
        <v>Cuando en el análisis de los requerimientos en los diferenes componentes del MECI se cuente con aspectos evaluados en nivel 1 (presente) y 1 (funcionando); 2 (presente) y 1 (funcionando).</v>
      </c>
      <c r="J65" s="111" t="s">
        <v>699</v>
      </c>
      <c r="K65" s="111">
        <f>+IF(ISBLANK(VLOOKUP(A65,'Info y Comunicación'!$B$19:$F$138,5,0)),"",VLOOKUP(A65,'Info y Comunicación'!$B$19:$F$138,5,0))</f>
        <v>3</v>
      </c>
      <c r="L65" s="111">
        <f>+IF(ISBLANK(VLOOKUP(A65,'Info y Comunicación'!$B$19:$J$138,9,0)),"",VLOOKUP(A65,'Info y Comunicación'!$B$19:$J$138,9,0))</f>
        <v>2</v>
      </c>
      <c r="M65" s="111">
        <f t="shared" si="5"/>
        <v>0.5</v>
      </c>
      <c r="N65" s="111">
        <f t="shared" si="4"/>
        <v>0.75</v>
      </c>
      <c r="O65" s="111"/>
      <c r="P65" s="111"/>
    </row>
    <row r="66" spans="1:16">
      <c r="A66" s="111" t="s">
        <v>702</v>
      </c>
      <c r="B66" s="111" t="str">
        <f t="shared" si="9"/>
        <v>15</v>
      </c>
      <c r="C66" s="111" t="str">
        <f>+MID(VLOOKUP(A66,'Info y Comunicación'!$B$13:$C$160,2,0),6,LEN(VLOOKUP(A66,'Info y Comunicación'!$B$13:$C$160,2,0))-6)</f>
        <v>La entidad cuenta con procesos o procedimientos encaminados a evaluar periodicamente la efectividad de los canales de comunicación con partes externas, así como sus contenidos, de tal forma que se puedan mejorar.</v>
      </c>
      <c r="D66" s="111" t="s">
        <v>688</v>
      </c>
      <c r="E66" s="111" t="str">
        <f>+VLOOKUP(A66,'Info y Comunicación'!$B$15:$K$138,3,0)</f>
        <v>Dimension de Informacion y Comunicación
Politica deControl Interno
Lineas de Defensa</v>
      </c>
      <c r="F66" s="111" t="str">
        <f>+VLOOKUP(A66,'Info y Comunicación'!$B$15:$K$138,10,0)</f>
        <v>Deficiencia de control (diseño o ejecución)</v>
      </c>
      <c r="G66" s="111">
        <f>+VLOOKUP(A66,'Info y Comunicación'!$B$13:$N$160,13,0)</f>
        <v>265.56319999999999</v>
      </c>
      <c r="H66" s="113">
        <f t="shared" si="3"/>
        <v>58</v>
      </c>
      <c r="I66" s="111" t="str">
        <f t="shared" ref="I66:I82" si="14">+IF(F66=$F$2,$P$4,IF(F66=$F$3,$P$2,$P$3))</f>
        <v>Cuando en el análisis de los requerimientos en los diferenes componentes del MECI se cuente con aspectos evaluados en nivel 1 (presente) y 1 (funcionando); 2 (presente) y 1 (funcionando).</v>
      </c>
      <c r="J66" s="111" t="s">
        <v>699</v>
      </c>
      <c r="K66" s="111">
        <f>+IF(ISBLANK(VLOOKUP(A66,'Info y Comunicación'!$B$19:$F$138,5,0)),"",VLOOKUP(A66,'Info y Comunicación'!$B$19:$F$138,5,0))</f>
        <v>3</v>
      </c>
      <c r="L66" s="111">
        <f>+IF(ISBLANK(VLOOKUP(A66,'Info y Comunicación'!$B$19:$J$138,9,0)),"",VLOOKUP(A66,'Info y Comunicación'!$B$19:$J$138,9,0))</f>
        <v>2</v>
      </c>
      <c r="M66" s="111">
        <f t="shared" si="5"/>
        <v>0.5</v>
      </c>
      <c r="N66" s="111">
        <f t="shared" si="4"/>
        <v>0.75</v>
      </c>
      <c r="O66" s="111"/>
      <c r="P66" s="111"/>
    </row>
    <row r="67" spans="1:16">
      <c r="A67" s="111" t="s">
        <v>703</v>
      </c>
      <c r="B67" s="111" t="str">
        <f t="shared" si="9"/>
        <v>15</v>
      </c>
      <c r="C67" s="111" t="str">
        <f>+MID(VLOOKUP(A67,'Info y Comunicación'!$B$13:$C$160,2,0),6,LEN(VLOOKUP(A67,'Info y Comunicación'!$B$13:$C$160,2,0))-6)</f>
        <v>La entidad analiza periodicamente su caracterización de usuarios o grupos de valor, a fin de actualizarla cuando sea pertinente</v>
      </c>
      <c r="D67" s="111" t="s">
        <v>688</v>
      </c>
      <c r="E67" s="111" t="str">
        <f>+VLOOKUP(A67,'Info y Comunicación'!$B$15:$K$138,3,0)</f>
        <v>Dimension de Direccionamiento Estrategico y Planeaciòn
Politica de Planeacion Institucional</v>
      </c>
      <c r="F67" s="111" t="str">
        <f>+VLOOKUP(A67,'Info y Comunicación'!$B$15:$K$138,10,0)</f>
        <v>Deficiencia de control (diseño o ejecución)</v>
      </c>
      <c r="G67" s="111">
        <f>+VLOOKUP(A67,'Info y Comunicación'!$B$13:$N$160,13,0)</f>
        <v>265.63209999999998</v>
      </c>
      <c r="H67" s="113">
        <f t="shared" si="3"/>
        <v>59</v>
      </c>
      <c r="I67" s="111" t="str">
        <f t="shared" si="14"/>
        <v>Cuando en el análisis de los requerimientos en los diferenes componentes del MECI se cuente con aspectos evaluados en nivel 1 (presente) y 1 (funcionando); 2 (presente) y 1 (funcionando).</v>
      </c>
      <c r="J67" s="111" t="s">
        <v>699</v>
      </c>
      <c r="K67" s="111">
        <f>+IF(ISBLANK(VLOOKUP(A67,'Info y Comunicación'!$B$19:$F$138,5,0)),"",VLOOKUP(A67,'Info y Comunicación'!$B$19:$F$138,5,0))</f>
        <v>3</v>
      </c>
      <c r="L67" s="111">
        <f>+IF(ISBLANK(VLOOKUP(A67,'Info y Comunicación'!$B$19:$J$138,9,0)),"",VLOOKUP(A67,'Info y Comunicación'!$B$19:$J$138,9,0))</f>
        <v>2</v>
      </c>
      <c r="M67" s="111">
        <f t="shared" si="5"/>
        <v>0.5</v>
      </c>
      <c r="N67" s="111">
        <f t="shared" si="4"/>
        <v>0.75</v>
      </c>
      <c r="O67" s="111"/>
      <c r="P67" s="111"/>
    </row>
    <row r="68" spans="1:16">
      <c r="A68" s="111" t="s">
        <v>704</v>
      </c>
      <c r="B68" s="111" t="str">
        <f t="shared" si="9"/>
        <v>15</v>
      </c>
      <c r="C68" s="111" t="str">
        <f>+MID(VLOOKUP(A68,'Info y Comunicación'!$B$13:$C$160,2,0),6,LEN(VLOOKUP(A68,'Info y Comunicación'!$B$13:$C$160,2,0))-6)</f>
        <v>La entidad analiza periodicamente los resultados frente a la evaluación de percepción por parte de los usuarios o grupos de valor para la incorporación de las mejoras correspondientes</v>
      </c>
      <c r="D68" s="111" t="s">
        <v>688</v>
      </c>
      <c r="E68" s="111" t="str">
        <f>+VLOOKUP(A68,'Info y Comunicación'!$B$15:$K$138,3,0)</f>
        <v>Dimension de Direccionamiento Estrategico y Planeaciòn
Politica de Planeacion Institucional</v>
      </c>
      <c r="F68" s="111" t="str">
        <f>+VLOOKUP(A68,'Info y Comunicación'!$B$15:$K$138,10,0)</f>
        <v>Deficiencia de control (diseño o ejecución)</v>
      </c>
      <c r="G68" s="111">
        <f>+VLOOKUP(A68,'Info y Comunicación'!$B$13:$N$160,13,0)</f>
        <v>265.78960000000001</v>
      </c>
      <c r="H68" s="113">
        <f t="shared" si="3"/>
        <v>60</v>
      </c>
      <c r="I68" s="111" t="str">
        <f t="shared" si="14"/>
        <v>Cuando en el análisis de los requerimientos en los diferenes componentes del MECI se cuente con aspectos evaluados en nivel 1 (presente) y 1 (funcionando); 2 (presente) y 1 (funcionando).</v>
      </c>
      <c r="J68" s="111" t="s">
        <v>699</v>
      </c>
      <c r="K68" s="111">
        <f>+IF(ISBLANK(VLOOKUP(A68,'Info y Comunicación'!$B$19:$F$138,5,0)),"",VLOOKUP(A68,'Info y Comunicación'!$B$19:$F$138,5,0))</f>
        <v>3</v>
      </c>
      <c r="L68" s="111">
        <f>+IF(ISBLANK(VLOOKUP(A68,'Info y Comunicación'!$B$19:$J$138,9,0)),"",VLOOKUP(A68,'Info y Comunicación'!$B$19:$J$138,9,0))</f>
        <v>2</v>
      </c>
      <c r="M68" s="111">
        <f t="shared" ref="M68:M82" si="15">+IF(OR(AND(K68=1,L68=1),AND(ISBLANK(K68),ISBLANK(L68)),K68="",L68=""),0,IF(OR(AND(K68=1,L68=2),AND(K68=1,L68=3)),0.25,IF(OR(AND(K68=2,L68=2),AND(K68=3,L68=1),AND(K68=3,L68=2),AND(K68=2,L68=1)),0.5,IF(AND(K68=2,L68=3),0.75,1))))</f>
        <v>0.5</v>
      </c>
      <c r="N68" s="111">
        <f t="shared" si="4"/>
        <v>0.75</v>
      </c>
      <c r="O68" s="111"/>
      <c r="P68" s="111"/>
    </row>
    <row r="69" spans="1:16">
      <c r="A69" s="111" t="s">
        <v>705</v>
      </c>
      <c r="B69" s="111" t="str">
        <f t="shared" si="9"/>
        <v>16</v>
      </c>
      <c r="C69" s="111" t="str">
        <f>+MID(VLOOKUP(A69,'Actividades de Monitoreo'!$B$13:$C$176,2,0),6,LEN(VLOOKUP(A69,'Actividades de Monitoreo'!$B$13:$C$176,2,0))-6)</f>
        <v>El comité Institucional de Coordinación de Control Interno aprueba anualmente el Plan Anual de Auditoría presentado por parte del Jefe de Control Interno o quien haga sus veces y hace el correspondiente seguimiento a sus ejecución</v>
      </c>
      <c r="D69" s="111" t="s">
        <v>706</v>
      </c>
      <c r="E69" s="111" t="str">
        <f>+VLOOKUP(A69,'Actividades de Monitoreo'!$B$17:$K$134,3,0)</f>
        <v>Dimension de Control Interno
Lineas Estrategica</v>
      </c>
      <c r="F69" s="111" t="str">
        <f>+VLOOKUP(A69,'Actividades de Monitoreo'!$B$17:$K$134,10,0)</f>
        <v>Mantenimiento del control</v>
      </c>
      <c r="G69" s="111">
        <f>+VLOOKUP(A69,'Actividades de Monitoreo'!$B$13:$N$176,13,0)</f>
        <v>385.87450000000001</v>
      </c>
      <c r="H69" s="113">
        <f t="shared" si="3"/>
        <v>70</v>
      </c>
      <c r="I69" s="111" t="str">
        <f t="shared" si="14"/>
        <v>Cuando en el análisis de los requerimientos en los diferenes componentes del MECI se cuente con aspectos evaluados en nivel 2 (presente) y 3 (funcionando).</v>
      </c>
      <c r="J69" s="111" t="s">
        <v>707</v>
      </c>
      <c r="K69" s="111">
        <f>+IF(ISBLANK(VLOOKUP(A69,'Actividades de Monitoreo'!$B$20:$F$134,5,0)),"",VLOOKUP(A69,'Actividades de Monitoreo'!$B$20:$F$134,5,0))</f>
        <v>3</v>
      </c>
      <c r="L69" s="111">
        <f>+IF(ISBLANK(VLOOKUP(A69,'Actividades de Monitoreo'!$B$20:$J$134,9,0)),"",VLOOKUP(A69,'Actividades de Monitoreo'!$B$20:$J$134,9,0))</f>
        <v>3</v>
      </c>
      <c r="M69" s="111">
        <f t="shared" si="15"/>
        <v>1</v>
      </c>
      <c r="N69" s="111">
        <f t="shared" si="4"/>
        <v>0.9285714285714286</v>
      </c>
      <c r="O69" s="111"/>
      <c r="P69" s="111"/>
    </row>
    <row r="70" spans="1:16">
      <c r="A70" s="111" t="s">
        <v>708</v>
      </c>
      <c r="B70" s="111" t="str">
        <f t="shared" si="9"/>
        <v>16</v>
      </c>
      <c r="C70" s="111" t="str">
        <f>+MID(VLOOKUP(A70,'Actividades de Monitoreo'!$B$13:$C$176,2,0),6,LEN(VLOOKUP(A70,'Actividades de Monitoreo'!$B$13:$C$176,2,0))-6)</f>
        <v xml:space="preserve"> La Alta Dirección periódicamente evalúa los resultados de las evaluaciones (contínuas e independientes)  para concluir acerca de la efectividad del Sistema de Control Intern</v>
      </c>
      <c r="D70" s="111" t="s">
        <v>706</v>
      </c>
      <c r="E70" s="111" t="str">
        <f>+VLOOKUP(A70,'Actividades de Monitoreo'!$B$17:$K$134,3,0)</f>
        <v>Dimension de Control Interno
Lineas Estrategica</v>
      </c>
      <c r="F70" s="111" t="str">
        <f>+VLOOKUP(A70,'Actividades de Monitoreo'!$B$17:$K$134,10,0)</f>
        <v>Mantenimiento del control</v>
      </c>
      <c r="G70" s="111">
        <f>+VLOOKUP(A70,'Actividades de Monitoreo'!$B$13:$N$176,13,0)</f>
        <v>385.96539999999999</v>
      </c>
      <c r="H70" s="113">
        <f t="shared" si="3"/>
        <v>71</v>
      </c>
      <c r="I70" s="111" t="str">
        <f t="shared" si="14"/>
        <v>Cuando en el análisis de los requerimientos en los diferenes componentes del MECI se cuente con aspectos evaluados en nivel 2 (presente) y 3 (funcionando).</v>
      </c>
      <c r="J70" s="111" t="s">
        <v>707</v>
      </c>
      <c r="K70" s="111">
        <f>+IF(ISBLANK(VLOOKUP(A70,'Actividades de Monitoreo'!$B$20:$F$134,5,0)),"",VLOOKUP(A70,'Actividades de Monitoreo'!$B$20:$F$134,5,0))</f>
        <v>3</v>
      </c>
      <c r="L70" s="111">
        <f>+IF(ISBLANK(VLOOKUP(A70,'Actividades de Monitoreo'!$B$20:$J$134,9,0)),"",VLOOKUP(A70,'Actividades de Monitoreo'!$B$20:$J$134,9,0))</f>
        <v>3</v>
      </c>
      <c r="M70" s="111">
        <f t="shared" si="15"/>
        <v>1</v>
      </c>
      <c r="N70" s="111">
        <f t="shared" si="4"/>
        <v>0.9285714285714286</v>
      </c>
      <c r="O70" s="111"/>
      <c r="P70" s="111"/>
    </row>
    <row r="71" spans="1:16">
      <c r="A71" s="111" t="s">
        <v>709</v>
      </c>
      <c r="B71" s="111" t="str">
        <f t="shared" si="9"/>
        <v>16</v>
      </c>
      <c r="C71" s="111" t="str">
        <f>+MID(VLOOKUP(A71,'Actividades de Monitoreo'!$B$13:$C$176,2,0),6,LEN(VLOOKUP(A71,'Actividades de Monitoreo'!$B$13:$C$176,2,0))-6)</f>
        <v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D71" s="111" t="s">
        <v>706</v>
      </c>
      <c r="E71" s="111" t="str">
        <f>+VLOOKUP(A71,'Actividades de Monitoreo'!$B$17:$K$134,3,0)</f>
        <v>Dimension de Control Interno
Tercera Linea de Defensa</v>
      </c>
      <c r="F71" s="111" t="str">
        <f>+VLOOKUP(A71,'Actividades de Monitoreo'!$B$17:$K$134,10,0)</f>
        <v>Mantenimiento del control</v>
      </c>
      <c r="G71" s="111">
        <f>+VLOOKUP(A71,'Actividades de Monitoreo'!$B$13:$N$176,13,0)</f>
        <v>386.01229999999998</v>
      </c>
      <c r="H71" s="113">
        <f t="shared" ref="H71:H82" si="16">+_xlfn.RANK.EQ(G71,$G$2:$G$82,1)</f>
        <v>72</v>
      </c>
      <c r="I71" s="111" t="str">
        <f t="shared" si="14"/>
        <v>Cuando en el análisis de los requerimientos en los diferenes componentes del MECI se cuente con aspectos evaluados en nivel 2 (presente) y 3 (funcionando).</v>
      </c>
      <c r="J71" s="111" t="s">
        <v>707</v>
      </c>
      <c r="K71" s="111">
        <f>+IF(ISBLANK(VLOOKUP(A71,'Actividades de Monitoreo'!$B$20:$F$134,5,0)),"",VLOOKUP(A71,'Actividades de Monitoreo'!$B$20:$F$134,5,0))</f>
        <v>3</v>
      </c>
      <c r="L71" s="111">
        <f>+IF(ISBLANK(VLOOKUP(A71,'Actividades de Monitoreo'!$B$20:$J$134,9,0)),"",VLOOKUP(A71,'Actividades de Monitoreo'!$B$20:$J$134,9,0))</f>
        <v>3</v>
      </c>
      <c r="M71" s="111">
        <f t="shared" si="15"/>
        <v>1</v>
      </c>
      <c r="N71" s="111">
        <f t="shared" ref="N71:N82" si="17">+AVERAGEIF($D$2:$D$82,D71,$M$2:$M$82)</f>
        <v>0.9285714285714286</v>
      </c>
      <c r="O71" s="111"/>
      <c r="P71" s="111"/>
    </row>
    <row r="72" spans="1:16">
      <c r="A72" s="111" t="s">
        <v>710</v>
      </c>
      <c r="B72" s="111" t="str">
        <f t="shared" si="9"/>
        <v>16</v>
      </c>
      <c r="C72" s="111" t="str">
        <f>+MID(VLOOKUP(A72,'Actividades de Monitoreo'!$B$13:$C$176,2,0),6,LEN(VLOOKUP(A72,'Actividades de Monitoreo'!$B$13:$C$176,2,0))-6)</f>
        <v>Acorde con el Esquema de Líneas de Defensa se han implementado procedimientos de monitoreo continuo como parte de las actividades de la 2a línea de defensa, a fin de contar con información clave para la toma de decisiones</v>
      </c>
      <c r="D72" s="111" t="s">
        <v>706</v>
      </c>
      <c r="E72" s="111" t="str">
        <f>+VLOOKUP(A72,'Actividades de Monitoreo'!$B$17:$K$134,3,0)</f>
        <v>Dimension de Control Interno
Segunda Linea de Defensa</v>
      </c>
      <c r="F72" s="111" t="str">
        <f>+VLOOKUP(A72,'Actividades de Monitoreo'!$B$17:$K$134,10,0)</f>
        <v>Mantenimiento del control</v>
      </c>
      <c r="G72" s="111">
        <f>+VLOOKUP(A72,'Actividades de Monitoreo'!$B$13:$N$176,13,0)</f>
        <v>386.12360000000001</v>
      </c>
      <c r="H72" s="113">
        <f t="shared" si="16"/>
        <v>73</v>
      </c>
      <c r="I72" s="111" t="str">
        <f t="shared" si="14"/>
        <v>Cuando en el análisis de los requerimientos en los diferenes componentes del MECI se cuente con aspectos evaluados en nivel 2 (presente) y 3 (funcionando).</v>
      </c>
      <c r="J72" s="111" t="s">
        <v>707</v>
      </c>
      <c r="K72" s="111">
        <f>+IF(ISBLANK(VLOOKUP(A72,'Actividades de Monitoreo'!$B$20:$F$134,5,0)),"",VLOOKUP(A72,'Actividades de Monitoreo'!$B$20:$F$134,5,0))</f>
        <v>3</v>
      </c>
      <c r="L72" s="111">
        <f>+IF(ISBLANK(VLOOKUP(A72,'Actividades de Monitoreo'!$B$20:$J$134,9,0)),"",VLOOKUP(A72,'Actividades de Monitoreo'!$B$20:$J$134,9,0))</f>
        <v>3</v>
      </c>
      <c r="M72" s="111">
        <f t="shared" si="15"/>
        <v>1</v>
      </c>
      <c r="N72" s="111">
        <f t="shared" si="17"/>
        <v>0.9285714285714286</v>
      </c>
      <c r="O72" s="111"/>
      <c r="P72" s="111"/>
    </row>
    <row r="73" spans="1:16">
      <c r="A73" s="111" t="s">
        <v>711</v>
      </c>
      <c r="B73" s="111" t="str">
        <f t="shared" si="9"/>
        <v>16</v>
      </c>
      <c r="C73" s="111" t="str">
        <f>+MID(VLOOKUP(A73,'Actividades de Monitoreo'!$B$13:$C$176,2,0),6,LEN(VLOOKUP(A73,'Actividades de Monitoreo'!$B$13:$C$176,2,0))-6)</f>
        <v>Frente a las evaluaciones independientes la entidad considera evaluaciones externas de organismos de control, de vigilancia, certificadores, ONG´s u otros que permitan tener una mirada independiente de las operaciones</v>
      </c>
      <c r="D73" s="111" t="s">
        <v>706</v>
      </c>
      <c r="E73" s="111" t="str">
        <f>+VLOOKUP(A73,'Actividades de Monitoreo'!$B$17:$K$134,3,0)</f>
        <v>Dimension de Control Interno
Lineas de Defensa</v>
      </c>
      <c r="F73" s="111" t="str">
        <f>+VLOOKUP(A73,'Actividades de Monitoreo'!$B$17:$K$134,10,0)</f>
        <v>Mantenimiento del control</v>
      </c>
      <c r="G73" s="111">
        <f>+VLOOKUP(A73,'Actividades de Monitoreo'!$B$13:$N$176,13,0)</f>
        <v>386.21359999999999</v>
      </c>
      <c r="H73" s="113">
        <f t="shared" si="16"/>
        <v>74</v>
      </c>
      <c r="I73" s="111" t="str">
        <f t="shared" si="14"/>
        <v>Cuando en el análisis de los requerimientos en los diferenes componentes del MECI se cuente con aspectos evaluados en nivel 2 (presente) y 3 (funcionando).</v>
      </c>
      <c r="J73" s="111" t="s">
        <v>707</v>
      </c>
      <c r="K73" s="111">
        <f>+IF(ISBLANK(VLOOKUP(A73,'Actividades de Monitoreo'!$B$20:$F$134,5,0)),"",VLOOKUP(A73,'Actividades de Monitoreo'!$B$20:$F$134,5,0))</f>
        <v>3</v>
      </c>
      <c r="L73" s="111">
        <f>+IF(ISBLANK(VLOOKUP(A73,'Actividades de Monitoreo'!$B$20:$J$134,9,0)),"",VLOOKUP(A73,'Actividades de Monitoreo'!$B$20:$J$134,9,0))</f>
        <v>3</v>
      </c>
      <c r="M73" s="111">
        <f t="shared" si="15"/>
        <v>1</v>
      </c>
      <c r="N73" s="111">
        <f t="shared" si="17"/>
        <v>0.9285714285714286</v>
      </c>
      <c r="O73" s="111"/>
      <c r="P73" s="111"/>
    </row>
    <row r="74" spans="1:16">
      <c r="A74" s="111" t="s">
        <v>712</v>
      </c>
      <c r="B74" s="111" t="str">
        <f t="shared" si="9"/>
        <v>17</v>
      </c>
      <c r="C74" s="111" t="str">
        <f>+MID(VLOOKUP(A74,'Actividades de Monitoreo'!$B$13:$C$176,2,0),6,LEN(VLOOKUP(A74,'Actividades de Monitoreo'!$B$13:$C$176,2,0))-6)</f>
        <v>A partir de la información de las evaluaciones independientes, se evalúan para determinar su efecto en el Sistema de Control Interno de la entidad y su impacto en el logro de los objetivos, a fin de determinar cursos de acción para su mejora</v>
      </c>
      <c r="D74" s="111" t="s">
        <v>706</v>
      </c>
      <c r="E74" s="111" t="str">
        <f>+VLOOKUP(A74,'Actividades de Monitoreo'!$B$17:$K$134,3,0)</f>
        <v>Dimension de Control Interno
Lineas de Defensa</v>
      </c>
      <c r="F74" s="111" t="str">
        <f>+VLOOKUP(A74,'Actividades de Monitoreo'!$B$17:$K$134,10,0)</f>
        <v>Deficiencia de control (diseño o ejecución)</v>
      </c>
      <c r="G74" s="111">
        <f>+VLOOKUP(A74,'Actividades de Monitoreo'!$B$13:$N$176,13,0)</f>
        <v>346.32580000000002</v>
      </c>
      <c r="H74" s="113">
        <f t="shared" si="16"/>
        <v>68</v>
      </c>
      <c r="I74" s="111" t="str">
        <f t="shared" si="14"/>
        <v>Cuando en el análisis de los requerimientos en los diferenes componentes del MECI se cuente con aspectos evaluados en nivel 1 (presente) y 1 (funcionando); 2 (presente) y 1 (funcionando).</v>
      </c>
      <c r="J74" s="111" t="s">
        <v>713</v>
      </c>
      <c r="K74" s="111">
        <f>+IF(ISBLANK(VLOOKUP(A74,'Actividades de Monitoreo'!$B$20:$F$134,5,0)),"",VLOOKUP(A74,'Actividades de Monitoreo'!$B$20:$F$134,5,0))</f>
        <v>3</v>
      </c>
      <c r="L74" s="111">
        <f>+IF(ISBLANK(VLOOKUP(A74,'Actividades de Monitoreo'!$B$20:$J$134,9,0)),"",VLOOKUP(A74,'Actividades de Monitoreo'!$B$20:$J$134,9,0))</f>
        <v>2</v>
      </c>
      <c r="M74" s="111">
        <f t="shared" si="15"/>
        <v>0.5</v>
      </c>
      <c r="N74" s="111">
        <f t="shared" si="17"/>
        <v>0.9285714285714286</v>
      </c>
      <c r="O74" s="111"/>
      <c r="P74" s="111"/>
    </row>
    <row r="75" spans="1:16">
      <c r="A75" s="111" t="s">
        <v>714</v>
      </c>
      <c r="B75" s="111" t="str">
        <f t="shared" si="9"/>
        <v>17</v>
      </c>
      <c r="C75" s="111" t="str">
        <f>+MID(VLOOKUP(A75,'Actividades de Monitoreo'!$B$13:$C$176,2,0),6,LEN(VLOOKUP(A75,'Actividades de Monitoreo'!$B$13:$C$176,2,0))-6)</f>
        <v>Los informes recibidos de entes externos (organismos de control, auditores externos, entidades de vigilancia entre otros) se consolidan y se concluye sobre el impacto en el Sistema de Control Interno, a fin de determinar los cursos de acción</v>
      </c>
      <c r="D75" s="111" t="s">
        <v>706</v>
      </c>
      <c r="E75" s="111" t="str">
        <f>+VLOOKUP(A75,'Actividades de Monitoreo'!$B$17:$K$134,3,0)</f>
        <v>Dimension de Control Interno
Lineas de Defensa</v>
      </c>
      <c r="F75" s="111" t="str">
        <f>+VLOOKUP(A75,'Actividades de Monitoreo'!$B$17:$K$134,10,0)</f>
        <v>Mantenimiento del control</v>
      </c>
      <c r="G75" s="111">
        <f>+VLOOKUP(A75,'Actividades de Monitoreo'!$B$13:$N$176,13,0)</f>
        <v>386.45690000000002</v>
      </c>
      <c r="H75" s="113">
        <f t="shared" si="16"/>
        <v>75</v>
      </c>
      <c r="I75" s="111" t="str">
        <f t="shared" si="14"/>
        <v>Cuando en el análisis de los requerimientos en los diferenes componentes del MECI se cuente con aspectos evaluados en nivel 2 (presente) y 3 (funcionando).</v>
      </c>
      <c r="J75" s="111" t="s">
        <v>713</v>
      </c>
      <c r="K75" s="111">
        <f>+IF(ISBLANK(VLOOKUP(A75,'Actividades de Monitoreo'!$B$20:$F$134,5,0)),"",VLOOKUP(A75,'Actividades de Monitoreo'!$B$20:$F$134,5,0))</f>
        <v>3</v>
      </c>
      <c r="L75" s="111">
        <f>+IF(ISBLANK(VLOOKUP(A75,'Actividades de Monitoreo'!$B$20:$J$134,9,0)),"",VLOOKUP(A75,'Actividades de Monitoreo'!$B$20:$J$134,9,0))</f>
        <v>3</v>
      </c>
      <c r="M75" s="111">
        <f t="shared" si="15"/>
        <v>1</v>
      </c>
      <c r="N75" s="111">
        <f t="shared" si="17"/>
        <v>0.9285714285714286</v>
      </c>
      <c r="O75" s="111"/>
      <c r="P75" s="111"/>
    </row>
    <row r="76" spans="1:16">
      <c r="A76" s="111" t="s">
        <v>715</v>
      </c>
      <c r="B76" s="111" t="str">
        <f t="shared" si="9"/>
        <v>17</v>
      </c>
      <c r="C76" s="111" t="str">
        <f>+MID(VLOOKUP(A76,'Actividades de Monitoreo'!$B$13:$C$176,2,0),6,LEN(VLOOKUP(A76,'Actividades de Monitoreo'!$B$13:$C$176,2,0))-6)</f>
        <v>La entidad cuenta con políticas donde se establezca a quién reportar las deficiencias de control interno como resultado del monitoreo continuo</v>
      </c>
      <c r="D76" s="111" t="s">
        <v>706</v>
      </c>
      <c r="E76" s="111" t="str">
        <f>+VLOOKUP(A76,'Actividades de Monitoreo'!$B$17:$K$134,3,0)</f>
        <v>Dimension de Control Interno
Lineas de Defensa</v>
      </c>
      <c r="F76" s="111" t="str">
        <f>+VLOOKUP(A76,'Actividades de Monitoreo'!$B$17:$K$134,10,0)</f>
        <v>Mantenimiento del control</v>
      </c>
      <c r="G76" s="111">
        <f>+VLOOKUP(A76,'Actividades de Monitoreo'!$B$13:$N$176,13,0)</f>
        <v>386.56319999999999</v>
      </c>
      <c r="H76" s="113">
        <f t="shared" si="16"/>
        <v>76</v>
      </c>
      <c r="I76" s="111" t="str">
        <f t="shared" si="14"/>
        <v>Cuando en el análisis de los requerimientos en los diferenes componentes del MECI se cuente con aspectos evaluados en nivel 2 (presente) y 3 (funcionando).</v>
      </c>
      <c r="J76" s="111" t="s">
        <v>713</v>
      </c>
      <c r="K76" s="111">
        <f>+IF(ISBLANK(VLOOKUP(A76,'Actividades de Monitoreo'!$B$20:$F$134,5,0)),"",VLOOKUP(A76,'Actividades de Monitoreo'!$B$20:$F$134,5,0))</f>
        <v>3</v>
      </c>
      <c r="L76" s="111">
        <f>+IF(ISBLANK(VLOOKUP(A76,'Actividades de Monitoreo'!$B$20:$J$134,9,0)),"",VLOOKUP(A76,'Actividades de Monitoreo'!$B$20:$J$134,9,0))</f>
        <v>3</v>
      </c>
      <c r="M76" s="111">
        <f t="shared" si="15"/>
        <v>1</v>
      </c>
      <c r="N76" s="111">
        <f t="shared" si="17"/>
        <v>0.9285714285714286</v>
      </c>
      <c r="O76" s="111"/>
      <c r="P76" s="111"/>
    </row>
    <row r="77" spans="1:16">
      <c r="A77" s="111" t="s">
        <v>716</v>
      </c>
      <c r="B77" s="111" t="str">
        <f t="shared" si="9"/>
        <v>17</v>
      </c>
      <c r="C77" s="111" t="str">
        <f>+MID(VLOOKUP(A77,'Actividades de Monitoreo'!$B$13:$C$176,2,0),6,LEN(VLOOKUP(A77,'Actividades de Monitoreo'!$B$13:$C$176,2,0))-6)</f>
        <v>La Alta Dirección hace seguimiento a las acciones correctivas relacionadas con las deficiencias comunicadas sobre el Sistema de Control Interno y si se han cumplido en el tiempo establecido</v>
      </c>
      <c r="D77" s="111" t="s">
        <v>706</v>
      </c>
      <c r="E77" s="111" t="str">
        <f>+VLOOKUP(A77,'Actividades de Monitoreo'!$B$17:$K$134,3,0)</f>
        <v>Dimension de Control Interno
Lineas de Defensa</v>
      </c>
      <c r="F77" s="111" t="str">
        <f>+VLOOKUP(A77,'Actividades de Monitoreo'!$B$17:$K$134,10,0)</f>
        <v>Deficiencia de control (diseño o ejecución)</v>
      </c>
      <c r="G77" s="111">
        <f>+VLOOKUP(A77,'Actividades de Monitoreo'!$B$13:$N$176,13,0)</f>
        <v>346.78539999999998</v>
      </c>
      <c r="H77" s="113">
        <f t="shared" si="16"/>
        <v>69</v>
      </c>
      <c r="I77" s="111" t="str">
        <f t="shared" si="14"/>
        <v>Cuando en el análisis de los requerimientos en los diferenes componentes del MECI se cuente con aspectos evaluados en nivel 1 (presente) y 1 (funcionando); 2 (presente) y 1 (funcionando).</v>
      </c>
      <c r="J77" s="111" t="s">
        <v>713</v>
      </c>
      <c r="K77" s="111">
        <f>+IF(ISBLANK(VLOOKUP(A77,'Actividades de Monitoreo'!$B$20:$F$134,5,0)),"",VLOOKUP(A77,'Actividades de Monitoreo'!$B$20:$F$134,5,0))</f>
        <v>3</v>
      </c>
      <c r="L77" s="111">
        <f>+IF(ISBLANK(VLOOKUP(A77,'Actividades de Monitoreo'!$B$20:$J$134,9,0)),"",VLOOKUP(A77,'Actividades de Monitoreo'!$B$20:$J$134,9,0))</f>
        <v>2</v>
      </c>
      <c r="M77" s="111">
        <f t="shared" si="15"/>
        <v>0.5</v>
      </c>
      <c r="N77" s="111">
        <f t="shared" si="17"/>
        <v>0.9285714285714286</v>
      </c>
      <c r="O77" s="111"/>
      <c r="P77" s="111"/>
    </row>
    <row r="78" spans="1:16">
      <c r="A78" s="111" t="s">
        <v>717</v>
      </c>
      <c r="B78" s="111" t="str">
        <f t="shared" si="9"/>
        <v>17</v>
      </c>
      <c r="C78" s="111" t="str">
        <f>+MID(VLOOKUP(A78,'Actividades de Monitoreo'!$B$13:$C$176,2,0),6,LEN(VLOOKUP(A78,'Actividades de Monitoreo'!$B$13:$C$176,2,0))-6)</f>
        <v>Los procesos y/o servicios tercerizados, son evaluados acorde con su nivel de riesgos</v>
      </c>
      <c r="D78" s="111" t="s">
        <v>706</v>
      </c>
      <c r="E78" s="111" t="str">
        <f>+VLOOKUP(A78,'Actividades de Monitoreo'!$B$17:$K$134,3,0)</f>
        <v>Dimension de Control Interno
Lineas de Defensa</v>
      </c>
      <c r="F78" s="111" t="str">
        <f>+VLOOKUP(A78,'Actividades de Monitoreo'!$B$17:$K$134,10,0)</f>
        <v>Mantenimiento del control</v>
      </c>
      <c r="G78" s="111">
        <f>+VLOOKUP(A78,'Actividades de Monitoreo'!$B$13:$N$176,13,0)</f>
        <v>386.87450000000001</v>
      </c>
      <c r="H78" s="113">
        <f t="shared" si="16"/>
        <v>77</v>
      </c>
      <c r="I78" s="111" t="str">
        <f t="shared" si="14"/>
        <v>Cuando en el análisis de los requerimientos en los diferenes componentes del MECI se cuente con aspectos evaluados en nivel 2 (presente) y 3 (funcionando).</v>
      </c>
      <c r="J78" s="111" t="s">
        <v>713</v>
      </c>
      <c r="K78" s="111">
        <f>+IF(ISBLANK(VLOOKUP(A78,'Actividades de Monitoreo'!$B$20:$F$134,5,0)),"",VLOOKUP(A78,'Actividades de Monitoreo'!$B$20:$F$134,5,0))</f>
        <v>3</v>
      </c>
      <c r="L78" s="111">
        <f>+IF(ISBLANK(VLOOKUP(A78,'Actividades de Monitoreo'!$B$20:$J$134,9,0)),"",VLOOKUP(A78,'Actividades de Monitoreo'!$B$20:$J$134,9,0))</f>
        <v>3</v>
      </c>
      <c r="M78" s="111">
        <f t="shared" si="15"/>
        <v>1</v>
      </c>
      <c r="N78" s="111">
        <f t="shared" si="17"/>
        <v>0.9285714285714286</v>
      </c>
      <c r="O78" s="111"/>
      <c r="P78" s="111"/>
    </row>
    <row r="79" spans="1:16">
      <c r="A79" s="111" t="s">
        <v>718</v>
      </c>
      <c r="B79" s="111" t="str">
        <f t="shared" si="9"/>
        <v>17</v>
      </c>
      <c r="C79" s="111" t="str">
        <f>+MID(VLOOKUP(A79,'Actividades de Monitoreo'!$B$13:$C$176,2,0),6,LEN(VLOOKUP(A79,'Actividades de Monitoreo'!$B$13:$C$176,2,0))-6)</f>
        <v>Se evalúa la información suministrada por los usuarios (Sistema PQRD), así como de otras partes interesadas para la mejora del  Sistema de Control Interno de la Entidad</v>
      </c>
      <c r="D79" s="111" t="s">
        <v>706</v>
      </c>
      <c r="E79" s="111" t="str">
        <f>+VLOOKUP(A79,'Actividades de Monitoreo'!$B$17:$K$134,3,0)</f>
        <v xml:space="preserve">
Dimension de Informacion y Comunicación 
Dimension de Control Interno
Lineas de Defensa</v>
      </c>
      <c r="F79" s="111" t="str">
        <f>+VLOOKUP(A79,'Actividades de Monitoreo'!$B$17:$K$134,10,0)</f>
        <v>Mantenimiento del control</v>
      </c>
      <c r="G79" s="111">
        <f>+VLOOKUP(A79,'Actividades de Monitoreo'!$B$13:$N$176,13,0)</f>
        <v>386.98739999999998</v>
      </c>
      <c r="H79" s="113">
        <f t="shared" si="16"/>
        <v>78</v>
      </c>
      <c r="I79" s="111" t="str">
        <f t="shared" si="14"/>
        <v>Cuando en el análisis de los requerimientos en los diferenes componentes del MECI se cuente con aspectos evaluados en nivel 2 (presente) y 3 (funcionando).</v>
      </c>
      <c r="J79" s="111" t="s">
        <v>713</v>
      </c>
      <c r="K79" s="111">
        <f>+IF(ISBLANK(VLOOKUP(A79,'Actividades de Monitoreo'!$B$20:$F$134,5,0)),"",VLOOKUP(A79,'Actividades de Monitoreo'!$B$20:$F$134,5,0))</f>
        <v>3</v>
      </c>
      <c r="L79" s="111">
        <f>+IF(ISBLANK(VLOOKUP(A79,'Actividades de Monitoreo'!$B$20:$J$134,9,0)),"",VLOOKUP(A79,'Actividades de Monitoreo'!$B$20:$J$134,9,0))</f>
        <v>3</v>
      </c>
      <c r="M79" s="111">
        <f t="shared" si="15"/>
        <v>1</v>
      </c>
      <c r="N79" s="111">
        <f t="shared" si="17"/>
        <v>0.9285714285714286</v>
      </c>
      <c r="O79" s="111"/>
      <c r="P79" s="111"/>
    </row>
    <row r="80" spans="1:16">
      <c r="A80" s="111" t="s">
        <v>719</v>
      </c>
      <c r="B80" s="111" t="str">
        <f t="shared" si="9"/>
        <v>17</v>
      </c>
      <c r="C80" s="111" t="str">
        <f>+MID(VLOOKUP(A80,'Actividades de Monitoreo'!$B$13:$C$176,2,0),6,LEN(VLOOKUP(A80,'Actividades de Monitoreo'!$B$13:$C$176,2,0))-6)</f>
        <v>Verificación del avance y cumplimiento de las acciones incluidas en los planes de mejoramiento producto de las autoevaluaciones. (2ª Línea).</v>
      </c>
      <c r="D80" s="111" t="s">
        <v>706</v>
      </c>
      <c r="E80" s="111" t="str">
        <f>+VLOOKUP(A80,'Actividades de Monitoreo'!$B$17:$K$134,3,0)</f>
        <v xml:space="preserve">
Dimension de Control Interno
Lineas de Defensa</v>
      </c>
      <c r="F80" s="111" t="str">
        <f>+VLOOKUP(A80,'Actividades de Monitoreo'!$B$17:$K$134,10,0)</f>
        <v>Mantenimiento del control</v>
      </c>
      <c r="G80" s="111">
        <f>+VLOOKUP(A80,'Actividades de Monitoreo'!$B$13:$N$176,13,0)</f>
        <v>386.98745000000002</v>
      </c>
      <c r="H80" s="113">
        <f t="shared" si="16"/>
        <v>79</v>
      </c>
      <c r="I80" s="111" t="str">
        <f t="shared" si="14"/>
        <v>Cuando en el análisis de los requerimientos en los diferenes componentes del MECI se cuente con aspectos evaluados en nivel 2 (presente) y 3 (funcionando).</v>
      </c>
      <c r="J80" s="111" t="s">
        <v>713</v>
      </c>
      <c r="K80" s="111">
        <f>+IF(ISBLANK(VLOOKUP(A80,'Actividades de Monitoreo'!$B$20:$F$134,5,0)),"",VLOOKUP(A80,'Actividades de Monitoreo'!$B$20:$F$134,5,0))</f>
        <v>3</v>
      </c>
      <c r="L80" s="111">
        <f>+IF(ISBLANK(VLOOKUP(A80,'Actividades de Monitoreo'!$B$20:$J$134,9,0)),"",VLOOKUP(A80,'Actividades de Monitoreo'!$B$20:$J$134,9,0))</f>
        <v>3</v>
      </c>
      <c r="M80" s="111">
        <f t="shared" si="15"/>
        <v>1</v>
      </c>
      <c r="N80" s="111">
        <f t="shared" si="17"/>
        <v>0.9285714285714286</v>
      </c>
      <c r="O80" s="111"/>
      <c r="P80" s="111"/>
    </row>
    <row r="81" spans="1:16">
      <c r="A81" s="111" t="s">
        <v>720</v>
      </c>
      <c r="B81" s="111" t="str">
        <f t="shared" si="9"/>
        <v>17</v>
      </c>
      <c r="C81" s="111" t="str">
        <f>+MID(VLOOKUP(A81,'Actividades de Monitoreo'!$B$13:$C$176,2,0),6,LEN(VLOOKUP(A81,'Actividades de Monitoreo'!$B$13:$C$176,2,0))-6)</f>
        <v>Evaluación de la efectividad de las acciones incluidas en los Planes de mejoramiento producto de las auditorías internas y de entes externos. (3ª Línea</v>
      </c>
      <c r="D81" s="111" t="s">
        <v>706</v>
      </c>
      <c r="E81" s="111" t="str">
        <f>+VLOOKUP(A81,'Actividades de Monitoreo'!$B$17:$K$134,3,0)</f>
        <v xml:space="preserve">
Dimension de Control Interno
Lineas de Defensa</v>
      </c>
      <c r="F81" s="111" t="str">
        <f>+VLOOKUP(A81,'Actividades de Monitoreo'!$B$17:$K$134,10,0)</f>
        <v>Mantenimiento del control</v>
      </c>
      <c r="G81" s="111">
        <f>+VLOOKUP(A81,'Actividades de Monitoreo'!$B$13:$N$176,13,0)</f>
        <v>386.98745600000001</v>
      </c>
      <c r="H81" s="113">
        <f t="shared" si="16"/>
        <v>80</v>
      </c>
      <c r="I81" s="111" t="str">
        <f t="shared" si="14"/>
        <v>Cuando en el análisis de los requerimientos en los diferenes componentes del MECI se cuente con aspectos evaluados en nivel 2 (presente) y 3 (funcionando).</v>
      </c>
      <c r="J81" s="111" t="s">
        <v>713</v>
      </c>
      <c r="K81" s="111">
        <f>+IF(ISBLANK(VLOOKUP(A81,'Actividades de Monitoreo'!$B$20:$F$134,5,0)),"",VLOOKUP(A81,'Actividades de Monitoreo'!$B$20:$F$134,5,0))</f>
        <v>3</v>
      </c>
      <c r="L81" s="111">
        <f>+IF(ISBLANK(VLOOKUP(A81,'Actividades de Monitoreo'!$B$20:$J$134,9,0)),"",VLOOKUP(A81,'Actividades de Monitoreo'!$B$20:$J$134,9,0))</f>
        <v>3</v>
      </c>
      <c r="M81" s="111">
        <f t="shared" si="15"/>
        <v>1</v>
      </c>
      <c r="N81" s="111">
        <f t="shared" si="17"/>
        <v>0.9285714285714286</v>
      </c>
      <c r="O81" s="111"/>
      <c r="P81" s="111"/>
    </row>
    <row r="82" spans="1:16">
      <c r="A82" s="111" t="s">
        <v>721</v>
      </c>
      <c r="B82" s="111" t="str">
        <f t="shared" si="9"/>
        <v>17</v>
      </c>
      <c r="C82" s="111" t="str">
        <f>+MID(VLOOKUP(A82,'Actividades de Monitoreo'!$B$13:$C$176,2,0),6,LEN(VLOOKUP(A82,'Actividades de Monitoreo'!$B$13:$C$176,2,0))-6)</f>
        <v>Las deficiencias de control interno son reportadas a los responsables de nivel jerárquico superior, para tomar la acciones correspondientes</v>
      </c>
      <c r="D82" s="111" t="s">
        <v>706</v>
      </c>
      <c r="E82" s="111" t="str">
        <f>+VLOOKUP(A82,'Actividades de Monitoreo'!$B$17:$K$134,3,0)</f>
        <v xml:space="preserve">
Dimension de Control Interno
Lineas de Defensa</v>
      </c>
      <c r="F82" s="111" t="str">
        <f>+VLOOKUP(A82,'Actividades de Monitoreo'!$B$17:$K$134,10,0)</f>
        <v>Mantenimiento del control</v>
      </c>
      <c r="G82" s="111">
        <f>+VLOOKUP(A82,'Actividades de Monitoreo'!$B$13:$N$176,13,0)</f>
        <v>387.01229999999998</v>
      </c>
      <c r="H82" s="113">
        <f t="shared" si="16"/>
        <v>81</v>
      </c>
      <c r="I82" s="111" t="str">
        <f t="shared" si="14"/>
        <v>Cuando en el análisis de los requerimientos en los diferenes componentes del MECI se cuente con aspectos evaluados en nivel 2 (presente) y 3 (funcionando).</v>
      </c>
      <c r="J82" s="111" t="s">
        <v>713</v>
      </c>
      <c r="K82" s="111">
        <f>+IF(ISBLANK(VLOOKUP(A82,'Actividades de Monitoreo'!$B$20:$F$134,5,0)),"",VLOOKUP(A82,'Actividades de Monitoreo'!$B$20:$F$134,5,0))</f>
        <v>3</v>
      </c>
      <c r="L82" s="111">
        <f>+IF(ISBLANK(VLOOKUP(A82,'Actividades de Monitoreo'!$B$20:$J$134,9,0)),"",VLOOKUP(A82,'Actividades de Monitoreo'!$B$20:$J$134,9,0))</f>
        <v>3</v>
      </c>
      <c r="M82" s="111">
        <f t="shared" si="15"/>
        <v>1</v>
      </c>
      <c r="N82" s="111">
        <f t="shared" si="17"/>
        <v>0.9285714285714286</v>
      </c>
      <c r="O82" s="111"/>
      <c r="P82" s="111"/>
    </row>
  </sheetData>
  <sheetProtection password="D72A"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39"/>
  <sheetViews>
    <sheetView showGridLines="0" workbookViewId="0">
      <pane xSplit="1" ySplit="4" topLeftCell="B5" activePane="bottomRight" state="frozen"/>
      <selection pane="bottomRight" activeCell="C24" sqref="C24"/>
      <selection pane="bottomLeft" activeCell="A11" sqref="A11"/>
      <selection pane="topRight" activeCell="B1" sqref="B1"/>
    </sheetView>
  </sheetViews>
  <sheetFormatPr defaultColWidth="11.42578125" defaultRowHeight="16.5"/>
  <cols>
    <col min="1" max="1" width="3.5703125" style="16" customWidth="1"/>
    <col min="2" max="2" width="36.42578125" style="16" customWidth="1"/>
    <col min="3" max="3" width="67.28515625" style="20" customWidth="1"/>
    <col min="4" max="16384" width="11.42578125" style="16"/>
  </cols>
  <sheetData>
    <row r="2" spans="2:12">
      <c r="B2" s="234" t="s">
        <v>38</v>
      </c>
      <c r="C2" s="234"/>
      <c r="D2" s="15"/>
      <c r="E2" s="15"/>
      <c r="F2" s="15"/>
      <c r="G2" s="15"/>
      <c r="H2" s="15"/>
      <c r="I2" s="15"/>
      <c r="J2" s="15"/>
      <c r="K2" s="15"/>
      <c r="L2" s="15"/>
    </row>
    <row r="4" spans="2:12">
      <c r="B4" s="21" t="s">
        <v>39</v>
      </c>
      <c r="C4" s="22" t="s">
        <v>5</v>
      </c>
    </row>
    <row r="5" spans="2:12" ht="66">
      <c r="B5" s="56" t="s">
        <v>40</v>
      </c>
      <c r="C5" s="17" t="s">
        <v>41</v>
      </c>
    </row>
    <row r="6" spans="2:12" ht="46.5" customHeight="1">
      <c r="B6" s="57" t="s">
        <v>42</v>
      </c>
      <c r="C6" s="18" t="s">
        <v>43</v>
      </c>
    </row>
    <row r="7" spans="2:12" ht="66">
      <c r="B7" s="58" t="s">
        <v>44</v>
      </c>
      <c r="C7" s="19" t="s">
        <v>45</v>
      </c>
    </row>
    <row r="8" spans="2:12" ht="49.5">
      <c r="B8" s="59" t="s">
        <v>46</v>
      </c>
      <c r="C8" s="19" t="s">
        <v>47</v>
      </c>
    </row>
    <row r="9" spans="2:12" ht="49.5">
      <c r="B9" s="59" t="s">
        <v>48</v>
      </c>
      <c r="C9" s="19" t="s">
        <v>49</v>
      </c>
    </row>
    <row r="10" spans="2:12">
      <c r="B10" s="58" t="s">
        <v>50</v>
      </c>
      <c r="C10" s="19" t="s">
        <v>51</v>
      </c>
    </row>
    <row r="11" spans="2:12" ht="132">
      <c r="B11" s="58" t="s">
        <v>52</v>
      </c>
      <c r="C11" s="19" t="s">
        <v>53</v>
      </c>
    </row>
    <row r="12" spans="2:12" ht="66">
      <c r="B12" s="58" t="s">
        <v>54</v>
      </c>
      <c r="C12" s="19" t="s">
        <v>55</v>
      </c>
    </row>
    <row r="13" spans="2:12" ht="49.5">
      <c r="B13" s="58" t="s">
        <v>56</v>
      </c>
      <c r="C13" s="19" t="s">
        <v>57</v>
      </c>
    </row>
    <row r="14" spans="2:12" ht="66">
      <c r="B14" s="59" t="s">
        <v>58</v>
      </c>
      <c r="C14" s="55" t="s">
        <v>59</v>
      </c>
    </row>
    <row r="15" spans="2:12" ht="33">
      <c r="B15" s="59" t="s">
        <v>60</v>
      </c>
      <c r="C15" s="55" t="s">
        <v>61</v>
      </c>
    </row>
    <row r="16" spans="2:12" ht="66">
      <c r="B16" s="59" t="s">
        <v>62</v>
      </c>
      <c r="C16" s="55" t="s">
        <v>63</v>
      </c>
    </row>
    <row r="17" spans="2:3" ht="33">
      <c r="B17" s="59" t="s">
        <v>64</v>
      </c>
      <c r="C17" s="55" t="s">
        <v>65</v>
      </c>
    </row>
    <row r="18" spans="2:3">
      <c r="B18" s="59" t="s">
        <v>66</v>
      </c>
      <c r="C18" s="55" t="s">
        <v>67</v>
      </c>
    </row>
    <row r="19" spans="2:3" ht="33">
      <c r="B19" s="59" t="s">
        <v>68</v>
      </c>
      <c r="C19" s="55" t="s">
        <v>69</v>
      </c>
    </row>
    <row r="20" spans="2:3" ht="33">
      <c r="B20" s="58" t="s">
        <v>70</v>
      </c>
      <c r="C20" s="19" t="s">
        <v>71</v>
      </c>
    </row>
    <row r="21" spans="2:3" ht="66">
      <c r="B21" s="58" t="s">
        <v>72</v>
      </c>
      <c r="C21" s="19" t="s">
        <v>73</v>
      </c>
    </row>
    <row r="22" spans="2:3" ht="82.5">
      <c r="B22" s="58" t="s">
        <v>74</v>
      </c>
      <c r="C22" s="19" t="s">
        <v>75</v>
      </c>
    </row>
    <row r="23" spans="2:3" ht="66">
      <c r="B23" s="58" t="s">
        <v>76</v>
      </c>
      <c r="C23" s="19" t="s">
        <v>77</v>
      </c>
    </row>
    <row r="24" spans="2:3" ht="99">
      <c r="B24" s="58" t="s">
        <v>78</v>
      </c>
      <c r="C24" s="19" t="s">
        <v>79</v>
      </c>
    </row>
    <row r="25" spans="2:3" ht="33">
      <c r="B25" s="58" t="s">
        <v>80</v>
      </c>
      <c r="C25" s="19" t="s">
        <v>81</v>
      </c>
    </row>
    <row r="26" spans="2:3" ht="33">
      <c r="B26" s="59" t="s">
        <v>82</v>
      </c>
      <c r="C26" s="55" t="s">
        <v>83</v>
      </c>
    </row>
    <row r="27" spans="2:3" ht="33">
      <c r="B27" s="59" t="s">
        <v>84</v>
      </c>
      <c r="C27" s="55" t="s">
        <v>85</v>
      </c>
    </row>
    <row r="28" spans="2:3" ht="49.5">
      <c r="B28" s="59" t="s">
        <v>27</v>
      </c>
      <c r="C28" s="55" t="s">
        <v>86</v>
      </c>
    </row>
    <row r="29" spans="2:3" ht="33">
      <c r="B29" s="58" t="s">
        <v>87</v>
      </c>
      <c r="C29" s="19" t="s">
        <v>88</v>
      </c>
    </row>
    <row r="30" spans="2:3" ht="33">
      <c r="B30" s="58" t="s">
        <v>89</v>
      </c>
      <c r="C30" s="19" t="s">
        <v>90</v>
      </c>
    </row>
    <row r="31" spans="2:3" ht="33">
      <c r="B31" s="58" t="s">
        <v>91</v>
      </c>
      <c r="C31" s="19" t="s">
        <v>92</v>
      </c>
    </row>
    <row r="32" spans="2:3" ht="49.5">
      <c r="B32" s="58" t="s">
        <v>93</v>
      </c>
      <c r="C32" s="19" t="s">
        <v>94</v>
      </c>
    </row>
    <row r="33" spans="2:3" ht="33">
      <c r="B33" s="58" t="s">
        <v>95</v>
      </c>
      <c r="C33" s="19" t="s">
        <v>96</v>
      </c>
    </row>
    <row r="34" spans="2:3" ht="33">
      <c r="B34" s="58" t="s">
        <v>97</v>
      </c>
      <c r="C34" s="19" t="s">
        <v>98</v>
      </c>
    </row>
    <row r="35" spans="2:3" ht="33">
      <c r="B35" s="58" t="s">
        <v>99</v>
      </c>
      <c r="C35" s="19" t="s">
        <v>100</v>
      </c>
    </row>
    <row r="36" spans="2:3" ht="49.5">
      <c r="B36" s="58" t="s">
        <v>101</v>
      </c>
      <c r="C36" s="19" t="s">
        <v>102</v>
      </c>
    </row>
    <row r="37" spans="2:3" ht="49.5">
      <c r="B37" s="58" t="s">
        <v>103</v>
      </c>
      <c r="C37" s="19" t="s">
        <v>104</v>
      </c>
    </row>
    <row r="38" spans="2:3" ht="49.5">
      <c r="B38" s="59" t="s">
        <v>105</v>
      </c>
      <c r="C38" s="55" t="s">
        <v>106</v>
      </c>
    </row>
    <row r="39" spans="2:3" ht="82.5" customHeight="1">
      <c r="B39" s="59" t="s">
        <v>107</v>
      </c>
      <c r="C39" s="55" t="s">
        <v>108</v>
      </c>
    </row>
  </sheetData>
  <sortState xmlns:xlrd2="http://schemas.microsoft.com/office/spreadsheetml/2017/richdata2" ref="B5:C37">
    <sortCondition ref="B5:B37"/>
  </sortState>
  <mergeCells count="1">
    <mergeCell ref="B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4:O352"/>
  <sheetViews>
    <sheetView showGridLines="0" topLeftCell="C172" zoomScale="85" zoomScaleNormal="85" workbookViewId="0">
      <selection activeCell="J161" sqref="J161:J168"/>
    </sheetView>
  </sheetViews>
  <sheetFormatPr defaultColWidth="3.28515625" defaultRowHeight="0" customHeight="1" zeroHeight="1"/>
  <cols>
    <col min="1" max="1" width="11.7109375" style="9" customWidth="1"/>
    <col min="2" max="2" width="3.5703125" style="9" hidden="1" customWidth="1"/>
    <col min="3" max="3" width="42.5703125" style="9" customWidth="1"/>
    <col min="4" max="4" width="36.28515625" style="9" customWidth="1"/>
    <col min="5" max="5" width="61" style="9" customWidth="1"/>
    <col min="6" max="6" width="8.28515625" style="9" customWidth="1"/>
    <col min="7" max="7" width="3.5703125" style="9" bestFit="1" customWidth="1"/>
    <col min="8" max="8" width="42.28515625" style="9" customWidth="1"/>
    <col min="9" max="9" width="39.7109375" style="9" customWidth="1"/>
    <col min="10" max="10" width="7.42578125" style="9" customWidth="1"/>
    <col min="11" max="11" width="19" style="9" customWidth="1"/>
    <col min="12" max="12" width="3.28515625" style="29" customWidth="1"/>
    <col min="13" max="13" width="7.28515625" style="29" customWidth="1"/>
    <col min="14" max="14" width="12.28515625" style="51" customWidth="1"/>
    <col min="15" max="15" width="12.28515625" style="73" customWidth="1"/>
    <col min="16" max="16364" width="3.28515625" style="9" customWidth="1"/>
    <col min="16365" max="16384" width="3.28515625" style="9"/>
  </cols>
  <sheetData>
    <row r="4" spans="5:10" ht="10.15" customHeight="1"/>
    <row r="5" spans="5:10" ht="10.15" customHeight="1"/>
    <row r="6" spans="5:10" ht="10.15" customHeight="1"/>
    <row r="7" spans="5:10" ht="10.15" customHeight="1"/>
    <row r="8" spans="5:10" ht="10.15" customHeight="1"/>
    <row r="9" spans="5:10" ht="10.15" customHeight="1"/>
    <row r="10" spans="5:10" ht="10.15" customHeight="1"/>
    <row r="11" spans="5:10" ht="10.15" customHeight="1"/>
    <row r="12" spans="5:10" ht="10.15" customHeight="1"/>
    <row r="13" spans="5:10" ht="10.15" customHeight="1">
      <c r="E13" s="318"/>
      <c r="F13" s="319"/>
      <c r="G13" s="319"/>
      <c r="H13" s="319"/>
      <c r="I13" s="319"/>
      <c r="J13" s="319"/>
    </row>
    <row r="14" spans="5:10" ht="31.5" customHeight="1">
      <c r="E14" s="318"/>
      <c r="F14" s="319"/>
      <c r="G14" s="319"/>
      <c r="H14" s="319"/>
      <c r="I14" s="319"/>
      <c r="J14" s="319"/>
    </row>
    <row r="15" spans="5:10" ht="24.75" customHeight="1">
      <c r="E15" s="33"/>
      <c r="F15" s="320"/>
      <c r="G15" s="320"/>
      <c r="H15" s="320"/>
      <c r="I15" s="320"/>
      <c r="J15" s="320"/>
    </row>
    <row r="16" spans="5:10" ht="20.25" customHeight="1"/>
    <row r="17" spans="1:15" ht="10.15" customHeight="1"/>
    <row r="18" spans="1:15" ht="20.100000000000001" customHeight="1">
      <c r="C18" s="359" t="s">
        <v>109</v>
      </c>
      <c r="D18" s="359"/>
      <c r="E18" s="359"/>
      <c r="F18" s="359"/>
      <c r="G18" s="359"/>
      <c r="H18" s="359"/>
      <c r="I18" s="359"/>
      <c r="J18" s="359"/>
      <c r="K18" s="359"/>
    </row>
    <row r="19" spans="1:15" ht="60" customHeight="1">
      <c r="C19" s="360" t="s">
        <v>110</v>
      </c>
      <c r="D19" s="360"/>
      <c r="E19" s="360"/>
      <c r="F19" s="360"/>
      <c r="G19" s="360"/>
      <c r="H19" s="360"/>
      <c r="I19" s="360"/>
      <c r="J19" s="360"/>
      <c r="K19" s="360"/>
    </row>
    <row r="20" spans="1:15" ht="10.15" customHeight="1" thickBot="1">
      <c r="B20" s="10"/>
      <c r="C20" s="10"/>
      <c r="D20" s="10"/>
      <c r="F20" s="11"/>
    </row>
    <row r="21" spans="1:15" ht="36.75" customHeight="1">
      <c r="B21" s="303" t="s">
        <v>111</v>
      </c>
      <c r="C21" s="305" t="s">
        <v>112</v>
      </c>
      <c r="D21" s="284" t="s">
        <v>113</v>
      </c>
      <c r="E21" s="358" t="s">
        <v>114</v>
      </c>
      <c r="F21" s="308" t="s">
        <v>115</v>
      </c>
      <c r="G21" s="324" t="s">
        <v>116</v>
      </c>
      <c r="H21" s="325"/>
      <c r="I21" s="326"/>
      <c r="J21" s="308" t="s">
        <v>117</v>
      </c>
      <c r="K21" s="308" t="s">
        <v>118</v>
      </c>
      <c r="L21" s="294"/>
      <c r="M21" s="294"/>
      <c r="N21" s="244"/>
      <c r="O21" s="246"/>
    </row>
    <row r="22" spans="1:15" ht="29.25" customHeight="1">
      <c r="B22" s="303"/>
      <c r="C22" s="305"/>
      <c r="D22" s="285"/>
      <c r="E22" s="285"/>
      <c r="F22" s="308"/>
      <c r="G22" s="321" t="s">
        <v>13</v>
      </c>
      <c r="H22" s="323" t="s">
        <v>15</v>
      </c>
      <c r="I22" s="284" t="s">
        <v>17</v>
      </c>
      <c r="J22" s="308"/>
      <c r="K22" s="308"/>
      <c r="L22" s="294"/>
      <c r="M22" s="294"/>
      <c r="N22" s="244"/>
      <c r="O22" s="246"/>
    </row>
    <row r="23" spans="1:15" ht="79.5" customHeight="1">
      <c r="B23" s="304"/>
      <c r="C23" s="306"/>
      <c r="D23" s="285"/>
      <c r="E23" s="285"/>
      <c r="F23" s="309"/>
      <c r="G23" s="322"/>
      <c r="H23" s="284"/>
      <c r="I23" s="285"/>
      <c r="J23" s="309"/>
      <c r="K23" s="309"/>
      <c r="L23" s="294"/>
      <c r="M23" s="294"/>
      <c r="N23" s="244"/>
      <c r="O23" s="246"/>
    </row>
    <row r="24" spans="1:15" ht="92.25" customHeight="1">
      <c r="A24" s="364" t="s">
        <v>119</v>
      </c>
      <c r="B24" s="302" t="str">
        <f>+LEFT(C24,3)</f>
        <v xml:space="preserve"> Ap</v>
      </c>
      <c r="C24" s="327" t="s">
        <v>120</v>
      </c>
      <c r="D24" s="327" t="s">
        <v>121</v>
      </c>
      <c r="E24" s="327" t="s">
        <v>122</v>
      </c>
      <c r="F24" s="353">
        <v>3</v>
      </c>
      <c r="G24" s="71">
        <v>1</v>
      </c>
      <c r="H24" s="119" t="s">
        <v>123</v>
      </c>
      <c r="I24" s="327" t="s">
        <v>124</v>
      </c>
      <c r="J24" s="353">
        <v>3</v>
      </c>
      <c r="K24" s="310" t="str">
        <f>+IF(OR(ISBLANK(F24),ISBLANK(J24)),"",IF(OR(AND(F24=1,J24=1),AND(F24=1,J24=2),AND(F24=1,J24=3)),"Deficiencia de control mayor (diseño y ejecución)",IF(OR(AND(F24=2,J24=2),AND(F24=3,J24=1),AND(F24=3,J24=2),AND(F24=2,J24=1)),"Deficiencia de control (diseño o ejecución)",IF(AND(F24=2,J24=3),"Oportunidad de mejora","Mantenimiento del control"))))</f>
        <v>Mantenimiento del control</v>
      </c>
      <c r="L24" s="292"/>
      <c r="M24" s="292"/>
      <c r="N24" s="235"/>
      <c r="O24" s="245"/>
    </row>
    <row r="25" spans="1:15" ht="79.5" customHeight="1">
      <c r="A25" s="364"/>
      <c r="B25" s="302"/>
      <c r="C25" s="327"/>
      <c r="D25" s="327"/>
      <c r="E25" s="327"/>
      <c r="F25" s="353"/>
      <c r="G25" s="71">
        <v>2</v>
      </c>
      <c r="H25" s="119" t="s">
        <v>125</v>
      </c>
      <c r="I25" s="327"/>
      <c r="J25" s="353"/>
      <c r="K25" s="310"/>
      <c r="L25" s="292"/>
      <c r="M25" s="292"/>
      <c r="N25" s="235"/>
      <c r="O25" s="245"/>
    </row>
    <row r="26" spans="1:15" ht="60.4" customHeight="1">
      <c r="A26" s="364"/>
      <c r="B26" s="302"/>
      <c r="C26" s="327"/>
      <c r="D26" s="327"/>
      <c r="E26" s="327"/>
      <c r="F26" s="353"/>
      <c r="G26" s="71">
        <v>3</v>
      </c>
      <c r="H26" s="119" t="s">
        <v>126</v>
      </c>
      <c r="I26" s="327"/>
      <c r="J26" s="353"/>
      <c r="K26" s="310"/>
      <c r="L26" s="292"/>
      <c r="M26" s="292"/>
      <c r="N26" s="235"/>
      <c r="O26" s="245"/>
    </row>
    <row r="27" spans="1:15" ht="16.5">
      <c r="A27" s="364"/>
      <c r="B27" s="302"/>
      <c r="C27" s="327"/>
      <c r="D27" s="327"/>
      <c r="E27" s="327"/>
      <c r="F27" s="353"/>
      <c r="G27" s="71">
        <v>4</v>
      </c>
      <c r="H27" s="72"/>
      <c r="I27" s="327"/>
      <c r="J27" s="353"/>
      <c r="K27" s="310"/>
      <c r="L27" s="292"/>
      <c r="M27" s="292"/>
      <c r="N27" s="235"/>
      <c r="O27" s="245"/>
    </row>
    <row r="28" spans="1:15" ht="16.5">
      <c r="A28" s="364"/>
      <c r="B28" s="302"/>
      <c r="C28" s="327"/>
      <c r="D28" s="327"/>
      <c r="E28" s="327"/>
      <c r="F28" s="353"/>
      <c r="G28" s="71">
        <v>5</v>
      </c>
      <c r="H28" s="72"/>
      <c r="I28" s="327"/>
      <c r="J28" s="353"/>
      <c r="K28" s="310"/>
      <c r="L28" s="292"/>
      <c r="M28" s="292"/>
      <c r="N28" s="235"/>
      <c r="O28" s="245"/>
    </row>
    <row r="29" spans="1:15" ht="16.5">
      <c r="A29" s="364"/>
      <c r="B29" s="302"/>
      <c r="C29" s="327"/>
      <c r="D29" s="327"/>
      <c r="E29" s="327"/>
      <c r="F29" s="353"/>
      <c r="G29" s="71">
        <v>6</v>
      </c>
      <c r="H29" s="72"/>
      <c r="I29" s="327"/>
      <c r="J29" s="353"/>
      <c r="K29" s="310"/>
      <c r="L29" s="292"/>
      <c r="M29" s="292"/>
      <c r="N29" s="235"/>
      <c r="O29" s="245"/>
    </row>
    <row r="30" spans="1:15" ht="16.5">
      <c r="A30" s="364"/>
      <c r="B30" s="302"/>
      <c r="C30" s="327"/>
      <c r="D30" s="327"/>
      <c r="E30" s="327"/>
      <c r="F30" s="353"/>
      <c r="G30" s="71">
        <v>7</v>
      </c>
      <c r="H30" s="72"/>
      <c r="I30" s="327"/>
      <c r="J30" s="353"/>
      <c r="K30" s="310"/>
      <c r="L30" s="292"/>
      <c r="M30" s="292"/>
      <c r="N30" s="235"/>
      <c r="O30" s="245"/>
    </row>
    <row r="31" spans="1:15" ht="12.4" customHeight="1">
      <c r="A31" s="364"/>
      <c r="B31" s="302"/>
      <c r="C31" s="327"/>
      <c r="D31" s="327"/>
      <c r="E31" s="327"/>
      <c r="F31" s="353"/>
      <c r="G31" s="71">
        <v>8</v>
      </c>
      <c r="H31" s="72"/>
      <c r="I31" s="327"/>
      <c r="J31" s="353"/>
      <c r="K31" s="310"/>
      <c r="L31" s="292"/>
      <c r="M31" s="292"/>
      <c r="N31" s="235"/>
      <c r="O31" s="245"/>
    </row>
    <row r="32" spans="1:15" ht="30.4" customHeight="1">
      <c r="B32" s="307" t="str">
        <f>+LEFT(C32,3)</f>
        <v>1.1</v>
      </c>
      <c r="C32" s="361" t="s">
        <v>127</v>
      </c>
      <c r="D32" s="348" t="s">
        <v>121</v>
      </c>
      <c r="E32" s="239" t="s">
        <v>128</v>
      </c>
      <c r="F32" s="362">
        <v>3</v>
      </c>
      <c r="G32" s="76">
        <v>1</v>
      </c>
      <c r="H32" s="127" t="s">
        <v>129</v>
      </c>
      <c r="I32" s="356" t="s">
        <v>130</v>
      </c>
      <c r="J32" s="262">
        <v>2</v>
      </c>
      <c r="K32" s="365" t="str">
        <f t="shared" ref="K32" si="0">+IF(OR(ISBLANK(F32),ISBLANK(J32)),"",IF(OR(AND(F32=1,J32=1),AND(F32=1,J32=2),AND(F32=1,J32=3)),"Deficiencia de control mayor (diseño y ejecución)",IF(OR(AND(F32=2,J32=2),AND(F32=3,J32=1),AND(F32=3,J32=2),AND(F32=2,J32=1)),"Deficiencia de control (diseño o ejecución)",IF(AND(F32=2,J32=3),"Oportunidad de mejora","Mantenimiento del control"))))</f>
        <v>Deficiencia de control (diseño o ejecución)</v>
      </c>
      <c r="L32" s="292">
        <f>+IF(K32="",0,IF(K32="Deficiencia de control mayor (diseño y ejecución)",4,IF(K32="Deficiencia de control (diseño o ejecución)",20,IF(K32="Oportunidad de mejora",40,60))))</f>
        <v>20</v>
      </c>
      <c r="M32" s="292">
        <v>4.5870000000000001E-2</v>
      </c>
      <c r="N32" s="235">
        <f>+L32+M32</f>
        <v>20.045870000000001</v>
      </c>
      <c r="O32" s="245"/>
    </row>
    <row r="33" spans="2:15" ht="51.6" customHeight="1">
      <c r="B33" s="296"/>
      <c r="C33" s="274"/>
      <c r="D33" s="348"/>
      <c r="E33" s="239"/>
      <c r="F33" s="362"/>
      <c r="G33" s="77">
        <v>2</v>
      </c>
      <c r="H33" s="128" t="s">
        <v>131</v>
      </c>
      <c r="I33" s="356"/>
      <c r="J33" s="262"/>
      <c r="K33" s="312"/>
      <c r="L33" s="292"/>
      <c r="M33" s="292"/>
      <c r="N33" s="235"/>
      <c r="O33" s="245"/>
    </row>
    <row r="34" spans="2:15" ht="49.5">
      <c r="B34" s="296"/>
      <c r="C34" s="274"/>
      <c r="D34" s="348"/>
      <c r="E34" s="239"/>
      <c r="F34" s="362"/>
      <c r="G34" s="77">
        <v>3</v>
      </c>
      <c r="H34" s="129" t="s">
        <v>132</v>
      </c>
      <c r="I34" s="356"/>
      <c r="J34" s="262"/>
      <c r="K34" s="312"/>
      <c r="L34" s="292"/>
      <c r="M34" s="292"/>
      <c r="N34" s="235"/>
      <c r="O34" s="245"/>
    </row>
    <row r="35" spans="2:15" ht="53.65" customHeight="1">
      <c r="B35" s="296"/>
      <c r="C35" s="274"/>
      <c r="D35" s="348"/>
      <c r="E35" s="239"/>
      <c r="F35" s="362"/>
      <c r="G35" s="77">
        <v>4</v>
      </c>
      <c r="H35" s="129" t="s">
        <v>133</v>
      </c>
      <c r="I35" s="356"/>
      <c r="J35" s="262"/>
      <c r="K35" s="312"/>
      <c r="L35" s="292"/>
      <c r="M35" s="292"/>
      <c r="N35" s="235"/>
      <c r="O35" s="245"/>
    </row>
    <row r="36" spans="2:15" ht="16.5">
      <c r="B36" s="296"/>
      <c r="C36" s="274"/>
      <c r="D36" s="348"/>
      <c r="E36" s="239"/>
      <c r="F36" s="362"/>
      <c r="G36" s="77">
        <v>5</v>
      </c>
      <c r="H36" s="78"/>
      <c r="I36" s="356"/>
      <c r="J36" s="262"/>
      <c r="K36" s="312"/>
      <c r="L36" s="292"/>
      <c r="M36" s="292"/>
      <c r="N36" s="235"/>
      <c r="O36" s="245"/>
    </row>
    <row r="37" spans="2:15" ht="2.65" customHeight="1">
      <c r="B37" s="296"/>
      <c r="C37" s="274"/>
      <c r="D37" s="348"/>
      <c r="E37" s="239"/>
      <c r="F37" s="362"/>
      <c r="G37" s="77">
        <v>6</v>
      </c>
      <c r="H37" s="78"/>
      <c r="I37" s="356"/>
      <c r="J37" s="262"/>
      <c r="K37" s="312"/>
      <c r="L37" s="292"/>
      <c r="M37" s="292"/>
      <c r="N37" s="235"/>
      <c r="O37" s="245"/>
    </row>
    <row r="38" spans="2:15" ht="269.25" customHeight="1">
      <c r="B38" s="296"/>
      <c r="C38" s="274"/>
      <c r="D38" s="348"/>
      <c r="E38" s="239"/>
      <c r="F38" s="362"/>
      <c r="G38" s="77">
        <v>7</v>
      </c>
      <c r="H38" s="78"/>
      <c r="I38" s="356"/>
      <c r="J38" s="262"/>
      <c r="K38" s="312"/>
      <c r="L38" s="292"/>
      <c r="M38" s="292"/>
      <c r="N38" s="235"/>
      <c r="O38" s="245"/>
    </row>
    <row r="39" spans="2:15" ht="4.1500000000000004" customHeight="1" thickBot="1">
      <c r="B39" s="297"/>
      <c r="C39" s="275"/>
      <c r="D39" s="349"/>
      <c r="E39" s="240"/>
      <c r="F39" s="363"/>
      <c r="G39" s="79">
        <v>8</v>
      </c>
      <c r="H39" s="80"/>
      <c r="I39" s="357"/>
      <c r="J39" s="263"/>
      <c r="K39" s="313"/>
      <c r="L39" s="292"/>
      <c r="M39" s="292"/>
      <c r="N39" s="235"/>
      <c r="O39" s="245"/>
    </row>
    <row r="40" spans="2:15" ht="41.65" customHeight="1">
      <c r="B40" s="295" t="str">
        <f>+LEFT(C40,3)</f>
        <v>1.2</v>
      </c>
      <c r="C40" s="273" t="s">
        <v>134</v>
      </c>
      <c r="D40" s="347" t="s">
        <v>121</v>
      </c>
      <c r="E40" s="344" t="s">
        <v>135</v>
      </c>
      <c r="F40" s="258">
        <v>3</v>
      </c>
      <c r="G40" s="76">
        <v>1</v>
      </c>
      <c r="H40" s="127" t="s">
        <v>129</v>
      </c>
      <c r="I40" s="236" t="s">
        <v>136</v>
      </c>
      <c r="J40" s="279">
        <v>3</v>
      </c>
      <c r="K40" s="311" t="str">
        <f t="shared" ref="K40" si="1">+IF(OR(ISBLANK(F40),ISBLANK(J40)),"",IF(OR(AND(F40=1,J40=1),AND(F40=1,J40=2),AND(F40=1,J40=3)),"Deficiencia de control mayor (diseño y ejecución)",IF(OR(AND(F40=2,J40=2),AND(F40=3,J40=1),AND(F40=3,J40=2),AND(F40=2,J40=1)),"Deficiencia de control (diseño o ejecución)",IF(AND(F40=2,J40=3),"Oportunidad de mejora","Mantenimiento del control"))))</f>
        <v>Mantenimiento del control</v>
      </c>
      <c r="L40" s="292">
        <f t="shared" ref="L40" si="2">+IF(K40="",0,IF(K40="Deficiencia de control mayor (diseño y ejecución)",4,IF(K40="Deficiencia de control (diseño o ejecución)",20,IF(K40="Oportunidad de mejora",40,60))))</f>
        <v>60</v>
      </c>
      <c r="M40" s="292">
        <v>5.5690000000000003E-2</v>
      </c>
      <c r="N40" s="235">
        <f t="shared" ref="N40" si="3">+L40+M40</f>
        <v>60.055689999999998</v>
      </c>
      <c r="O40" s="245"/>
    </row>
    <row r="41" spans="2:15" ht="50.45" customHeight="1">
      <c r="B41" s="296"/>
      <c r="C41" s="274"/>
      <c r="D41" s="348"/>
      <c r="E41" s="354"/>
      <c r="F41" s="259"/>
      <c r="G41" s="77">
        <v>2</v>
      </c>
      <c r="H41" s="124" t="s">
        <v>137</v>
      </c>
      <c r="I41" s="239"/>
      <c r="J41" s="280"/>
      <c r="K41" s="312"/>
      <c r="L41" s="292"/>
      <c r="M41" s="292"/>
      <c r="N41" s="235"/>
      <c r="O41" s="245"/>
    </row>
    <row r="42" spans="2:15" ht="16.5">
      <c r="B42" s="296"/>
      <c r="C42" s="274"/>
      <c r="D42" s="348"/>
      <c r="E42" s="354"/>
      <c r="F42" s="259"/>
      <c r="G42" s="77">
        <v>3</v>
      </c>
      <c r="H42" s="117"/>
      <c r="I42" s="239"/>
      <c r="J42" s="280"/>
      <c r="K42" s="312"/>
      <c r="L42" s="292"/>
      <c r="M42" s="292"/>
      <c r="N42" s="235"/>
      <c r="O42" s="245"/>
    </row>
    <row r="43" spans="2:15" ht="16.5">
      <c r="B43" s="296"/>
      <c r="C43" s="274"/>
      <c r="D43" s="348"/>
      <c r="E43" s="354"/>
      <c r="F43" s="259"/>
      <c r="G43" s="77">
        <v>4</v>
      </c>
      <c r="H43" s="117"/>
      <c r="I43" s="239"/>
      <c r="J43" s="280"/>
      <c r="K43" s="312"/>
      <c r="L43" s="292"/>
      <c r="M43" s="292"/>
      <c r="N43" s="235"/>
      <c r="O43" s="245"/>
    </row>
    <row r="44" spans="2:15" ht="16.5">
      <c r="B44" s="296"/>
      <c r="C44" s="274"/>
      <c r="D44" s="348"/>
      <c r="E44" s="354"/>
      <c r="F44" s="259"/>
      <c r="G44" s="77">
        <v>5</v>
      </c>
      <c r="H44" s="117"/>
      <c r="I44" s="239"/>
      <c r="J44" s="280"/>
      <c r="K44" s="312"/>
      <c r="L44" s="292"/>
      <c r="M44" s="292"/>
      <c r="N44" s="235"/>
      <c r="O44" s="245"/>
    </row>
    <row r="45" spans="2:15" ht="16.5">
      <c r="B45" s="296"/>
      <c r="C45" s="274"/>
      <c r="D45" s="348"/>
      <c r="E45" s="354"/>
      <c r="F45" s="259"/>
      <c r="G45" s="77">
        <v>6</v>
      </c>
      <c r="H45" s="117"/>
      <c r="I45" s="239"/>
      <c r="J45" s="280"/>
      <c r="K45" s="312"/>
      <c r="L45" s="292"/>
      <c r="M45" s="292"/>
      <c r="N45" s="235"/>
      <c r="O45" s="245"/>
    </row>
    <row r="46" spans="2:15" ht="16.5">
      <c r="B46" s="296"/>
      <c r="C46" s="274"/>
      <c r="D46" s="348"/>
      <c r="E46" s="354"/>
      <c r="F46" s="259"/>
      <c r="G46" s="77">
        <v>7</v>
      </c>
      <c r="H46" s="117"/>
      <c r="I46" s="239"/>
      <c r="J46" s="280"/>
      <c r="K46" s="312"/>
      <c r="L46" s="292"/>
      <c r="M46" s="292"/>
      <c r="N46" s="235"/>
      <c r="O46" s="245"/>
    </row>
    <row r="47" spans="2:15" ht="169.5" customHeight="1" thickBot="1">
      <c r="B47" s="297"/>
      <c r="C47" s="275"/>
      <c r="D47" s="349"/>
      <c r="E47" s="355"/>
      <c r="F47" s="260"/>
      <c r="G47" s="81">
        <v>8</v>
      </c>
      <c r="H47" s="118"/>
      <c r="I47" s="240"/>
      <c r="J47" s="281"/>
      <c r="K47" s="313"/>
      <c r="L47" s="292"/>
      <c r="M47" s="292"/>
      <c r="N47" s="235"/>
      <c r="O47" s="245"/>
    </row>
    <row r="48" spans="2:15" ht="29.65" customHeight="1">
      <c r="B48" s="295" t="str">
        <f>+LEFT(C48,3)</f>
        <v>1.3</v>
      </c>
      <c r="C48" s="273" t="s">
        <v>138</v>
      </c>
      <c r="D48" s="347" t="s">
        <v>139</v>
      </c>
      <c r="E48" s="344" t="s">
        <v>140</v>
      </c>
      <c r="F48" s="258">
        <v>3</v>
      </c>
      <c r="G48" s="82">
        <v>1</v>
      </c>
      <c r="H48" s="123" t="s">
        <v>141</v>
      </c>
      <c r="I48" s="236" t="s">
        <v>142</v>
      </c>
      <c r="J48" s="279">
        <v>3</v>
      </c>
      <c r="K48" s="311" t="str">
        <f t="shared" ref="K48" si="4">+IF(OR(ISBLANK(F48),ISBLANK(J48)),"",IF(OR(AND(F48=1,J48=1),AND(F48=1,J48=2),AND(F48=1,J48=3)),"Deficiencia de control mayor (diseño y ejecución)",IF(OR(AND(F48=2,J48=2),AND(F48=3,J48=1),AND(F48=3,J48=2),AND(F48=2,J48=1)),"Deficiencia de control (diseño o ejecución)",IF(AND(F48=2,J48=3),"Oportunidad de mejora","Mantenimiento del control"))))</f>
        <v>Mantenimiento del control</v>
      </c>
      <c r="L48" s="292">
        <f t="shared" ref="L48" si="5">+IF(K48="",0,IF(K48="Deficiencia de control mayor (diseño y ejecución)",4,IF(K48="Deficiencia de control (diseño o ejecución)",20,IF(K48="Oportunidad de mejora",40,60))))</f>
        <v>60</v>
      </c>
      <c r="M48" s="292">
        <v>6.6895999999999997E-2</v>
      </c>
      <c r="N48" s="241">
        <f t="shared" ref="N48" si="6">+L48+M48</f>
        <v>60.066896</v>
      </c>
      <c r="O48" s="247"/>
    </row>
    <row r="49" spans="2:15" ht="54" customHeight="1">
      <c r="B49" s="296"/>
      <c r="C49" s="274"/>
      <c r="D49" s="348"/>
      <c r="E49" s="345"/>
      <c r="F49" s="259"/>
      <c r="G49" s="77">
        <v>2</v>
      </c>
      <c r="H49" s="124" t="s">
        <v>143</v>
      </c>
      <c r="I49" s="239"/>
      <c r="J49" s="280"/>
      <c r="K49" s="312"/>
      <c r="L49" s="292"/>
      <c r="M49" s="292"/>
      <c r="N49" s="241"/>
      <c r="O49" s="247"/>
    </row>
    <row r="50" spans="2:15" ht="54.75" customHeight="1">
      <c r="B50" s="296"/>
      <c r="C50" s="274"/>
      <c r="D50" s="348"/>
      <c r="E50" s="345"/>
      <c r="F50" s="259"/>
      <c r="G50" s="77">
        <v>3</v>
      </c>
      <c r="H50" s="124" t="s">
        <v>144</v>
      </c>
      <c r="I50" s="239"/>
      <c r="J50" s="280"/>
      <c r="K50" s="312"/>
      <c r="L50" s="292"/>
      <c r="M50" s="292"/>
      <c r="N50" s="241"/>
      <c r="O50" s="247"/>
    </row>
    <row r="51" spans="2:15" ht="37.5" customHeight="1">
      <c r="B51" s="296"/>
      <c r="C51" s="274"/>
      <c r="D51" s="348"/>
      <c r="E51" s="345"/>
      <c r="F51" s="259"/>
      <c r="G51" s="77">
        <v>4</v>
      </c>
      <c r="H51" s="124" t="s">
        <v>145</v>
      </c>
      <c r="I51" s="239"/>
      <c r="J51" s="280"/>
      <c r="K51" s="312"/>
      <c r="L51" s="292"/>
      <c r="M51" s="292"/>
      <c r="N51" s="241"/>
      <c r="O51" s="247"/>
    </row>
    <row r="52" spans="2:15" ht="28.9" customHeight="1">
      <c r="B52" s="296"/>
      <c r="C52" s="274"/>
      <c r="D52" s="348"/>
      <c r="E52" s="345"/>
      <c r="F52" s="259"/>
      <c r="G52" s="77">
        <v>5</v>
      </c>
      <c r="H52" s="117"/>
      <c r="I52" s="239"/>
      <c r="J52" s="280"/>
      <c r="K52" s="312"/>
      <c r="L52" s="292"/>
      <c r="M52" s="292"/>
      <c r="N52" s="241"/>
      <c r="O52" s="247"/>
    </row>
    <row r="53" spans="2:15" ht="24" customHeight="1">
      <c r="B53" s="296"/>
      <c r="C53" s="274"/>
      <c r="D53" s="348"/>
      <c r="E53" s="345"/>
      <c r="F53" s="259"/>
      <c r="G53" s="77">
        <v>6</v>
      </c>
      <c r="H53" s="117"/>
      <c r="I53" s="239"/>
      <c r="J53" s="280"/>
      <c r="K53" s="312"/>
      <c r="L53" s="292"/>
      <c r="M53" s="292"/>
      <c r="N53" s="241"/>
      <c r="O53" s="247"/>
    </row>
    <row r="54" spans="2:15" ht="10.5" customHeight="1">
      <c r="B54" s="296"/>
      <c r="C54" s="274"/>
      <c r="D54" s="348"/>
      <c r="E54" s="345"/>
      <c r="F54" s="259"/>
      <c r="G54" s="77">
        <v>7</v>
      </c>
      <c r="H54" s="117"/>
      <c r="I54" s="239"/>
      <c r="J54" s="280"/>
      <c r="K54" s="312"/>
      <c r="L54" s="292"/>
      <c r="M54" s="292"/>
      <c r="N54" s="241"/>
      <c r="O54" s="247"/>
    </row>
    <row r="55" spans="2:15" ht="17.25" thickBot="1">
      <c r="B55" s="297"/>
      <c r="C55" s="275"/>
      <c r="D55" s="349"/>
      <c r="E55" s="346"/>
      <c r="F55" s="260"/>
      <c r="G55" s="81">
        <v>8</v>
      </c>
      <c r="H55" s="118"/>
      <c r="I55" s="240"/>
      <c r="J55" s="281"/>
      <c r="K55" s="313"/>
      <c r="L55" s="292"/>
      <c r="M55" s="292"/>
      <c r="N55" s="241"/>
      <c r="O55" s="247"/>
    </row>
    <row r="56" spans="2:15" ht="35.65" customHeight="1">
      <c r="B56" s="295" t="str">
        <f>+LEFT(C56,3)</f>
        <v>1.4</v>
      </c>
      <c r="C56" s="249" t="s">
        <v>146</v>
      </c>
      <c r="D56" s="252" t="s">
        <v>147</v>
      </c>
      <c r="E56" s="255" t="s">
        <v>148</v>
      </c>
      <c r="F56" s="258">
        <v>3</v>
      </c>
      <c r="G56" s="82">
        <v>1</v>
      </c>
      <c r="H56" s="123" t="s">
        <v>149</v>
      </c>
      <c r="I56" s="375" t="s">
        <v>150</v>
      </c>
      <c r="J56" s="261">
        <v>3</v>
      </c>
      <c r="K56" s="264" t="str">
        <f t="shared" ref="K56" si="7">+IF(OR(ISBLANK(F56),ISBLANK(J56)),"",IF(OR(AND(F56=1,J56=1),AND(F56=1,J56=2),AND(F56=1,J56=3)),"Deficiencia de control mayor (diseño y ejecución)",IF(OR(AND(F56=2,J56=2),AND(F56=3,J56=1),AND(F56=3,J56=2),AND(F56=2,J56=1)),"Deficiencia de control (diseño o ejecución)",IF(AND(F56=2,J56=3),"Oportunidad de mejora","Mantenimiento del control"))))</f>
        <v>Mantenimiento del control</v>
      </c>
      <c r="L56" s="292">
        <f t="shared" ref="L56" si="8">+IF(K56="",0,IF(K56="Deficiencia de control mayor (diseño y ejecución)",4,IF(K56="Deficiencia de control (diseño o ejecución)",20,IF(K56="Oportunidad de mejora",40,60))))</f>
        <v>60</v>
      </c>
      <c r="M56" s="292">
        <v>6.6909999999999997E-2</v>
      </c>
      <c r="N56" s="242">
        <f>+L56+M56</f>
        <v>60.06691</v>
      </c>
      <c r="O56" s="248"/>
    </row>
    <row r="57" spans="2:15" ht="89.25" customHeight="1">
      <c r="B57" s="296"/>
      <c r="C57" s="250"/>
      <c r="D57" s="253"/>
      <c r="E57" s="256"/>
      <c r="F57" s="259"/>
      <c r="G57" s="77">
        <v>2</v>
      </c>
      <c r="H57" s="124" t="s">
        <v>151</v>
      </c>
      <c r="I57" s="373"/>
      <c r="J57" s="262"/>
      <c r="K57" s="265"/>
      <c r="L57" s="292"/>
      <c r="M57" s="292"/>
      <c r="N57" s="242"/>
      <c r="O57" s="248"/>
    </row>
    <row r="58" spans="2:15" ht="132">
      <c r="B58" s="296"/>
      <c r="C58" s="250"/>
      <c r="D58" s="253"/>
      <c r="E58" s="256"/>
      <c r="F58" s="259"/>
      <c r="G58" s="77">
        <v>3</v>
      </c>
      <c r="H58" s="124" t="s">
        <v>152</v>
      </c>
      <c r="I58" s="373"/>
      <c r="J58" s="262"/>
      <c r="K58" s="265"/>
      <c r="L58" s="292"/>
      <c r="M58" s="292"/>
      <c r="N58" s="242"/>
      <c r="O58" s="248"/>
    </row>
    <row r="59" spans="2:15" ht="64.5" customHeight="1">
      <c r="B59" s="296"/>
      <c r="C59" s="250"/>
      <c r="D59" s="253"/>
      <c r="E59" s="256"/>
      <c r="F59" s="259"/>
      <c r="G59" s="77">
        <v>4</v>
      </c>
      <c r="H59" s="124" t="s">
        <v>153</v>
      </c>
      <c r="I59" s="373"/>
      <c r="J59" s="262"/>
      <c r="K59" s="265"/>
      <c r="L59" s="292"/>
      <c r="M59" s="292"/>
      <c r="N59" s="242"/>
      <c r="O59" s="248"/>
    </row>
    <row r="60" spans="2:15" ht="24.4" customHeight="1">
      <c r="B60" s="296"/>
      <c r="C60" s="250"/>
      <c r="D60" s="253"/>
      <c r="E60" s="256"/>
      <c r="F60" s="259"/>
      <c r="G60" s="77">
        <v>5</v>
      </c>
      <c r="H60" s="117"/>
      <c r="I60" s="373"/>
      <c r="J60" s="262"/>
      <c r="K60" s="265"/>
      <c r="L60" s="292"/>
      <c r="M60" s="292"/>
      <c r="N60" s="242"/>
      <c r="O60" s="248"/>
    </row>
    <row r="61" spans="2:15" ht="28.5" customHeight="1">
      <c r="B61" s="296"/>
      <c r="C61" s="250"/>
      <c r="D61" s="253"/>
      <c r="E61" s="256"/>
      <c r="F61" s="259"/>
      <c r="G61" s="77">
        <v>6</v>
      </c>
      <c r="H61" s="117"/>
      <c r="I61" s="373"/>
      <c r="J61" s="262"/>
      <c r="K61" s="265"/>
      <c r="L61" s="292"/>
      <c r="M61" s="292"/>
      <c r="N61" s="242"/>
      <c r="O61" s="248"/>
    </row>
    <row r="62" spans="2:15" ht="36.4" customHeight="1">
      <c r="B62" s="296"/>
      <c r="C62" s="250"/>
      <c r="D62" s="253"/>
      <c r="E62" s="256"/>
      <c r="F62" s="259"/>
      <c r="G62" s="77">
        <v>7</v>
      </c>
      <c r="H62" s="117"/>
      <c r="I62" s="373"/>
      <c r="J62" s="262"/>
      <c r="K62" s="265"/>
      <c r="L62" s="292"/>
      <c r="M62" s="292"/>
      <c r="N62" s="242"/>
      <c r="O62" s="248"/>
    </row>
    <row r="63" spans="2:15" ht="24.4" customHeight="1" thickBot="1">
      <c r="B63" s="297"/>
      <c r="C63" s="251"/>
      <c r="D63" s="254"/>
      <c r="E63" s="257"/>
      <c r="F63" s="260"/>
      <c r="G63" s="81">
        <v>8</v>
      </c>
      <c r="H63" s="118"/>
      <c r="I63" s="374"/>
      <c r="J63" s="263"/>
      <c r="K63" s="266"/>
      <c r="L63" s="292"/>
      <c r="M63" s="292"/>
      <c r="N63" s="242"/>
      <c r="O63" s="248"/>
    </row>
    <row r="64" spans="2:15" ht="43.5" customHeight="1">
      <c r="B64" s="295" t="str">
        <f>+LEFT(C64,3)</f>
        <v>1.5</v>
      </c>
      <c r="C64" s="273" t="s">
        <v>154</v>
      </c>
      <c r="D64" s="347" t="s">
        <v>155</v>
      </c>
      <c r="E64" s="344" t="s">
        <v>156</v>
      </c>
      <c r="F64" s="258">
        <v>3</v>
      </c>
      <c r="G64" s="82">
        <v>1</v>
      </c>
      <c r="H64" s="123" t="s">
        <v>157</v>
      </c>
      <c r="I64" s="236" t="s">
        <v>158</v>
      </c>
      <c r="J64" s="279">
        <v>3</v>
      </c>
      <c r="K64" s="311" t="str">
        <f t="shared" ref="K64" si="9">+IF(OR(ISBLANK(F64),ISBLANK(J64)),"",IF(OR(AND(F64=1,J64=1),AND(F64=1,J64=2),AND(F64=1,J64=3)),"Deficiencia de control mayor (diseño y ejecución)",IF(OR(AND(F64=2,J64=2),AND(F64=3,J64=1),AND(F64=3,J64=2),AND(F64=2,J64=1)),"Deficiencia de control (diseño o ejecución)",IF(AND(F64=2,J64=3),"Oportunidad de mejora","Mantenimiento del control"))))</f>
        <v>Mantenimiento del control</v>
      </c>
      <c r="L64" s="292">
        <f t="shared" ref="L64" si="10">+IF(K64="",0,IF(K64="Deficiencia de control mayor (diseño y ejecución)",4,IF(K64="Deficiencia de control (diseño o ejecución)",20,IF(K64="Oportunidad de mejora",40,60))))</f>
        <v>60</v>
      </c>
      <c r="M64" s="292">
        <v>7.3568999999999996E-2</v>
      </c>
      <c r="N64" s="235">
        <f t="shared" ref="N64" si="11">+L64+M64</f>
        <v>60.073568999999999</v>
      </c>
      <c r="O64" s="245"/>
    </row>
    <row r="65" spans="2:15" ht="100.15" customHeight="1">
      <c r="B65" s="296"/>
      <c r="C65" s="274"/>
      <c r="D65" s="348"/>
      <c r="E65" s="345"/>
      <c r="F65" s="259"/>
      <c r="G65" s="77">
        <v>2</v>
      </c>
      <c r="H65" s="124" t="s">
        <v>159</v>
      </c>
      <c r="I65" s="237"/>
      <c r="J65" s="280"/>
      <c r="K65" s="312"/>
      <c r="L65" s="292"/>
      <c r="M65" s="292"/>
      <c r="N65" s="235"/>
      <c r="O65" s="245"/>
    </row>
    <row r="66" spans="2:15" ht="33" customHeight="1">
      <c r="B66" s="296"/>
      <c r="C66" s="274"/>
      <c r="D66" s="348"/>
      <c r="E66" s="345"/>
      <c r="F66" s="259"/>
      <c r="G66" s="77">
        <v>3</v>
      </c>
      <c r="H66" s="117"/>
      <c r="I66" s="237"/>
      <c r="J66" s="280"/>
      <c r="K66" s="312"/>
      <c r="L66" s="292"/>
      <c r="M66" s="292"/>
      <c r="N66" s="235"/>
      <c r="O66" s="245"/>
    </row>
    <row r="67" spans="2:15" ht="16.5">
      <c r="B67" s="296"/>
      <c r="C67" s="274"/>
      <c r="D67" s="348"/>
      <c r="E67" s="345"/>
      <c r="F67" s="259"/>
      <c r="G67" s="77">
        <v>4</v>
      </c>
      <c r="H67" s="117"/>
      <c r="I67" s="237"/>
      <c r="J67" s="280"/>
      <c r="K67" s="312"/>
      <c r="L67" s="292"/>
      <c r="M67" s="292"/>
      <c r="N67" s="235"/>
      <c r="O67" s="245"/>
    </row>
    <row r="68" spans="2:15" ht="16.5">
      <c r="B68" s="296"/>
      <c r="C68" s="274"/>
      <c r="D68" s="348"/>
      <c r="E68" s="345"/>
      <c r="F68" s="259"/>
      <c r="G68" s="77">
        <v>5</v>
      </c>
      <c r="H68" s="117"/>
      <c r="I68" s="237"/>
      <c r="J68" s="280"/>
      <c r="K68" s="312"/>
      <c r="L68" s="292"/>
      <c r="M68" s="292"/>
      <c r="N68" s="235"/>
      <c r="O68" s="245"/>
    </row>
    <row r="69" spans="2:15" ht="16.5">
      <c r="B69" s="296"/>
      <c r="C69" s="274"/>
      <c r="D69" s="348"/>
      <c r="E69" s="345"/>
      <c r="F69" s="259"/>
      <c r="G69" s="77">
        <v>6</v>
      </c>
      <c r="H69" s="117"/>
      <c r="I69" s="237"/>
      <c r="J69" s="280"/>
      <c r="K69" s="312"/>
      <c r="L69" s="292"/>
      <c r="M69" s="292"/>
      <c r="N69" s="235"/>
      <c r="O69" s="245"/>
    </row>
    <row r="70" spans="2:15" ht="16.5">
      <c r="B70" s="296"/>
      <c r="C70" s="274"/>
      <c r="D70" s="348"/>
      <c r="E70" s="345"/>
      <c r="F70" s="259"/>
      <c r="G70" s="77">
        <v>7</v>
      </c>
      <c r="H70" s="117"/>
      <c r="I70" s="237"/>
      <c r="J70" s="280"/>
      <c r="K70" s="312"/>
      <c r="L70" s="292"/>
      <c r="M70" s="292"/>
      <c r="N70" s="235"/>
      <c r="O70" s="245"/>
    </row>
    <row r="71" spans="2:15" ht="27.6" customHeight="1" thickBot="1">
      <c r="B71" s="297"/>
      <c r="C71" s="275"/>
      <c r="D71" s="349"/>
      <c r="E71" s="346"/>
      <c r="F71" s="260"/>
      <c r="G71" s="81">
        <v>8</v>
      </c>
      <c r="H71" s="118"/>
      <c r="I71" s="238"/>
      <c r="J71" s="281"/>
      <c r="K71" s="313"/>
      <c r="L71" s="292"/>
      <c r="M71" s="292"/>
      <c r="N71" s="235"/>
      <c r="O71" s="245"/>
    </row>
    <row r="72" spans="2:15" ht="36.75" customHeight="1">
      <c r="B72" s="305"/>
      <c r="C72" s="305" t="s">
        <v>160</v>
      </c>
      <c r="D72" s="284" t="s">
        <v>8</v>
      </c>
      <c r="E72" s="339" t="s">
        <v>114</v>
      </c>
      <c r="F72" s="287" t="s">
        <v>115</v>
      </c>
      <c r="G72" s="328" t="s">
        <v>116</v>
      </c>
      <c r="H72" s="329"/>
      <c r="I72" s="330"/>
      <c r="J72" s="287" t="s">
        <v>117</v>
      </c>
      <c r="K72" s="314" t="s">
        <v>161</v>
      </c>
      <c r="L72" s="293"/>
      <c r="M72" s="293"/>
      <c r="N72" s="243"/>
      <c r="O72" s="246"/>
    </row>
    <row r="73" spans="2:15" ht="29.25" customHeight="1">
      <c r="B73" s="305"/>
      <c r="C73" s="305"/>
      <c r="D73" s="285"/>
      <c r="E73" s="340"/>
      <c r="F73" s="287"/>
      <c r="G73" s="289" t="s">
        <v>13</v>
      </c>
      <c r="H73" s="343" t="s">
        <v>15</v>
      </c>
      <c r="I73" s="331" t="s">
        <v>17</v>
      </c>
      <c r="J73" s="287"/>
      <c r="K73" s="314"/>
      <c r="L73" s="293"/>
      <c r="M73" s="293"/>
      <c r="N73" s="243"/>
      <c r="O73" s="246"/>
    </row>
    <row r="74" spans="2:15" ht="45.75" customHeight="1" thickBot="1">
      <c r="B74" s="306"/>
      <c r="C74" s="306"/>
      <c r="D74" s="286"/>
      <c r="E74" s="332"/>
      <c r="F74" s="288"/>
      <c r="G74" s="290"/>
      <c r="H74" s="331"/>
      <c r="I74" s="332"/>
      <c r="J74" s="288"/>
      <c r="K74" s="315"/>
      <c r="L74" s="293"/>
      <c r="M74" s="293"/>
      <c r="N74" s="243"/>
      <c r="O74" s="246"/>
    </row>
    <row r="75" spans="2:15" ht="66">
      <c r="B75" s="295" t="str">
        <f>+LEFT(C75,3)</f>
        <v>2.1</v>
      </c>
      <c r="C75" s="273" t="s">
        <v>162</v>
      </c>
      <c r="D75" s="252" t="s">
        <v>163</v>
      </c>
      <c r="E75" s="333" t="s">
        <v>164</v>
      </c>
      <c r="F75" s="258">
        <v>3</v>
      </c>
      <c r="G75" s="82">
        <v>1</v>
      </c>
      <c r="H75" s="123" t="s">
        <v>165</v>
      </c>
      <c r="I75" s="236" t="s">
        <v>166</v>
      </c>
      <c r="J75" s="279">
        <v>3</v>
      </c>
      <c r="K75" s="311" t="str">
        <f t="shared" ref="K75" si="12">+IF(OR(ISBLANK(F75),ISBLANK(J75)),"",IF(OR(AND(F75=1,J75=1),AND(F75=1,J75=2),AND(F75=1,J75=3)),"Deficiencia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292">
        <f t="shared" ref="L75:L91" si="13">+IF(K75="",0,IF(K75="Deficiencia de control mayor (diseño y ejecución)",4,IF(K75="Deficiencia de control (diseño o ejecución)",20,IF(K75="Oportunidad de mejora",40,60))))</f>
        <v>60</v>
      </c>
      <c r="M75" s="292">
        <v>8.8965299999999997E-2</v>
      </c>
      <c r="N75" s="235">
        <f>+L75+M75</f>
        <v>60.088965299999998</v>
      </c>
      <c r="O75" s="245"/>
    </row>
    <row r="76" spans="2:15" ht="21.4" customHeight="1">
      <c r="B76" s="296"/>
      <c r="C76" s="274"/>
      <c r="D76" s="253"/>
      <c r="E76" s="334"/>
      <c r="F76" s="259"/>
      <c r="G76" s="77">
        <v>2</v>
      </c>
      <c r="H76" s="124"/>
      <c r="I76" s="239"/>
      <c r="J76" s="280"/>
      <c r="K76" s="312"/>
      <c r="L76" s="292"/>
      <c r="M76" s="292"/>
      <c r="N76" s="235"/>
      <c r="O76" s="245"/>
    </row>
    <row r="77" spans="2:15" ht="36.75" customHeight="1" thickBot="1">
      <c r="B77" s="296"/>
      <c r="C77" s="274"/>
      <c r="D77" s="253"/>
      <c r="E77" s="334"/>
      <c r="F77" s="259"/>
      <c r="G77" s="77">
        <v>3</v>
      </c>
      <c r="H77" s="117"/>
      <c r="I77" s="239"/>
      <c r="J77" s="280"/>
      <c r="K77" s="312"/>
      <c r="L77" s="292"/>
      <c r="M77" s="292"/>
      <c r="N77" s="235"/>
      <c r="O77" s="245"/>
    </row>
    <row r="78" spans="2:15" ht="1.5" hidden="1" customHeight="1" thickBot="1">
      <c r="B78" s="296"/>
      <c r="C78" s="274"/>
      <c r="D78" s="253"/>
      <c r="E78" s="334"/>
      <c r="F78" s="259"/>
      <c r="G78" s="77">
        <v>4</v>
      </c>
      <c r="H78" s="117"/>
      <c r="I78" s="239"/>
      <c r="J78" s="280"/>
      <c r="K78" s="312"/>
      <c r="L78" s="292"/>
      <c r="M78" s="292"/>
      <c r="N78" s="235"/>
      <c r="O78" s="245"/>
    </row>
    <row r="79" spans="2:15" ht="21" hidden="1" customHeight="1">
      <c r="B79" s="296"/>
      <c r="C79" s="274"/>
      <c r="D79" s="253"/>
      <c r="E79" s="334"/>
      <c r="F79" s="259"/>
      <c r="G79" s="77">
        <v>5</v>
      </c>
      <c r="H79" s="117"/>
      <c r="I79" s="239"/>
      <c r="J79" s="280"/>
      <c r="K79" s="312"/>
      <c r="L79" s="292"/>
      <c r="M79" s="292"/>
      <c r="N79" s="235"/>
      <c r="O79" s="245"/>
    </row>
    <row r="80" spans="2:15" ht="21" hidden="1" customHeight="1">
      <c r="B80" s="296"/>
      <c r="C80" s="274"/>
      <c r="D80" s="253"/>
      <c r="E80" s="334"/>
      <c r="F80" s="259"/>
      <c r="G80" s="77">
        <v>6</v>
      </c>
      <c r="H80" s="117"/>
      <c r="I80" s="239"/>
      <c r="J80" s="280"/>
      <c r="K80" s="312"/>
      <c r="L80" s="292"/>
      <c r="M80" s="292"/>
      <c r="N80" s="235"/>
      <c r="O80" s="245"/>
    </row>
    <row r="81" spans="2:15" ht="21" hidden="1" customHeight="1">
      <c r="B81" s="296"/>
      <c r="C81" s="274"/>
      <c r="D81" s="253"/>
      <c r="E81" s="334"/>
      <c r="F81" s="259"/>
      <c r="G81" s="77">
        <v>7</v>
      </c>
      <c r="H81" s="117"/>
      <c r="I81" s="239"/>
      <c r="J81" s="280"/>
      <c r="K81" s="312"/>
      <c r="L81" s="292"/>
      <c r="M81" s="292"/>
      <c r="N81" s="235"/>
      <c r="O81" s="245"/>
    </row>
    <row r="82" spans="2:15" ht="1.5" hidden="1" customHeight="1" thickBot="1">
      <c r="B82" s="297"/>
      <c r="C82" s="275"/>
      <c r="D82" s="254"/>
      <c r="E82" s="335"/>
      <c r="F82" s="260"/>
      <c r="G82" s="81">
        <v>8</v>
      </c>
      <c r="H82" s="118"/>
      <c r="I82" s="240"/>
      <c r="J82" s="281"/>
      <c r="K82" s="313"/>
      <c r="L82" s="292"/>
      <c r="M82" s="292"/>
      <c r="N82" s="235"/>
      <c r="O82" s="245"/>
    </row>
    <row r="83" spans="2:15" ht="31.5" customHeight="1">
      <c r="B83" s="295" t="str">
        <f>+LEFT(C83,3)</f>
        <v>2.2</v>
      </c>
      <c r="C83" s="350" t="s">
        <v>167</v>
      </c>
      <c r="D83" s="252" t="s">
        <v>168</v>
      </c>
      <c r="E83" s="344" t="s">
        <v>169</v>
      </c>
      <c r="F83" s="258">
        <v>3</v>
      </c>
      <c r="G83" s="82">
        <v>1</v>
      </c>
      <c r="H83" s="123" t="s">
        <v>170</v>
      </c>
      <c r="I83" s="236" t="s">
        <v>171</v>
      </c>
      <c r="J83" s="279">
        <v>2</v>
      </c>
      <c r="K83" s="311" t="str">
        <f t="shared" ref="K83" si="14">+IF(OR(ISBLANK(F83),ISBLANK(J83)),"",IF(OR(AND(F83=1,J83=1),AND(F83=1,J83=2),AND(F83=1,J83=3)),"Deficiencia de control mayor (diseño y ejecución)",IF(OR(AND(F83=2,J83=2),AND(F83=3,J83=1),AND(F83=3,J83=2),AND(F83=2,J83=1)),"Deficiencia de control (diseño o ejecución)",IF(AND(F83=2,J83=3),"Oportunidad de mejora","Mantenimiento del control"))))</f>
        <v>Deficiencia de control (diseño o ejecución)</v>
      </c>
      <c r="L83" s="292">
        <f t="shared" si="13"/>
        <v>20</v>
      </c>
      <c r="M83" s="292">
        <v>9.8965300000000006E-2</v>
      </c>
      <c r="N83" s="235">
        <f t="shared" ref="N83:N91" si="15">+L83+M83</f>
        <v>20.0989653</v>
      </c>
      <c r="O83" s="245"/>
    </row>
    <row r="84" spans="2:15" ht="66">
      <c r="B84" s="296"/>
      <c r="C84" s="351"/>
      <c r="D84" s="253"/>
      <c r="E84" s="345"/>
      <c r="F84" s="259"/>
      <c r="G84" s="77">
        <v>2</v>
      </c>
      <c r="H84" s="124" t="s">
        <v>172</v>
      </c>
      <c r="I84" s="239"/>
      <c r="J84" s="280"/>
      <c r="K84" s="312"/>
      <c r="L84" s="292"/>
      <c r="M84" s="292"/>
      <c r="N84" s="235"/>
      <c r="O84" s="245"/>
    </row>
    <row r="85" spans="2:15" ht="76.5" customHeight="1">
      <c r="B85" s="296"/>
      <c r="C85" s="351"/>
      <c r="D85" s="253"/>
      <c r="E85" s="345"/>
      <c r="F85" s="259"/>
      <c r="G85" s="77">
        <v>3</v>
      </c>
      <c r="H85" s="124" t="s">
        <v>173</v>
      </c>
      <c r="I85" s="239"/>
      <c r="J85" s="280"/>
      <c r="K85" s="312"/>
      <c r="L85" s="292"/>
      <c r="M85" s="292"/>
      <c r="N85" s="235"/>
      <c r="O85" s="245"/>
    </row>
    <row r="86" spans="2:15" ht="49.9" customHeight="1" thickBot="1">
      <c r="B86" s="296"/>
      <c r="C86" s="351"/>
      <c r="D86" s="253"/>
      <c r="E86" s="345"/>
      <c r="F86" s="259"/>
      <c r="G86" s="77">
        <v>4</v>
      </c>
      <c r="H86" s="117"/>
      <c r="I86" s="239"/>
      <c r="J86" s="280"/>
      <c r="K86" s="312"/>
      <c r="L86" s="292"/>
      <c r="M86" s="292"/>
      <c r="N86" s="235"/>
      <c r="O86" s="245"/>
    </row>
    <row r="87" spans="2:15" ht="1.1499999999999999" hidden="1" customHeight="1" thickBot="1">
      <c r="B87" s="296"/>
      <c r="C87" s="351"/>
      <c r="D87" s="253"/>
      <c r="E87" s="345"/>
      <c r="F87" s="259"/>
      <c r="G87" s="77">
        <v>5</v>
      </c>
      <c r="H87" s="117"/>
      <c r="I87" s="239"/>
      <c r="J87" s="280"/>
      <c r="K87" s="312"/>
      <c r="L87" s="292"/>
      <c r="M87" s="292"/>
      <c r="N87" s="235"/>
      <c r="O87" s="245"/>
    </row>
    <row r="88" spans="2:15" ht="16.5" hidden="1">
      <c r="B88" s="296"/>
      <c r="C88" s="351"/>
      <c r="D88" s="253"/>
      <c r="E88" s="345"/>
      <c r="F88" s="259"/>
      <c r="G88" s="77">
        <v>6</v>
      </c>
      <c r="H88" s="117"/>
      <c r="I88" s="239"/>
      <c r="J88" s="280"/>
      <c r="K88" s="312"/>
      <c r="L88" s="292"/>
      <c r="M88" s="292"/>
      <c r="N88" s="235"/>
      <c r="O88" s="245"/>
    </row>
    <row r="89" spans="2:15" ht="16.5" hidden="1">
      <c r="B89" s="296"/>
      <c r="C89" s="351"/>
      <c r="D89" s="253"/>
      <c r="E89" s="345"/>
      <c r="F89" s="259"/>
      <c r="G89" s="77">
        <v>7</v>
      </c>
      <c r="H89" s="117"/>
      <c r="I89" s="239"/>
      <c r="J89" s="280"/>
      <c r="K89" s="312"/>
      <c r="L89" s="292"/>
      <c r="M89" s="292"/>
      <c r="N89" s="235"/>
      <c r="O89" s="245"/>
    </row>
    <row r="90" spans="2:15" ht="10.9" hidden="1" customHeight="1" thickBot="1">
      <c r="B90" s="297"/>
      <c r="C90" s="352"/>
      <c r="D90" s="254"/>
      <c r="E90" s="346"/>
      <c r="F90" s="260"/>
      <c r="G90" s="81">
        <v>8</v>
      </c>
      <c r="H90" s="118"/>
      <c r="I90" s="240"/>
      <c r="J90" s="281"/>
      <c r="K90" s="313"/>
      <c r="L90" s="292"/>
      <c r="M90" s="292"/>
      <c r="N90" s="235"/>
      <c r="O90" s="245"/>
    </row>
    <row r="91" spans="2:15" ht="36" customHeight="1">
      <c r="B91" s="295" t="str">
        <f>+LEFT(C91,3)</f>
        <v>2.3</v>
      </c>
      <c r="C91" s="273" t="s">
        <v>174</v>
      </c>
      <c r="D91" s="252" t="s">
        <v>175</v>
      </c>
      <c r="E91" s="333" t="s">
        <v>176</v>
      </c>
      <c r="F91" s="258">
        <v>3</v>
      </c>
      <c r="G91" s="82">
        <v>1</v>
      </c>
      <c r="H91" s="123" t="s">
        <v>170</v>
      </c>
      <c r="I91" s="236" t="s">
        <v>177</v>
      </c>
      <c r="J91" s="279">
        <v>3</v>
      </c>
      <c r="K91" s="311" t="str">
        <f t="shared" ref="K91" si="16">+IF(OR(ISBLANK(F91),ISBLANK(J91)),"",IF(OR(AND(F91=1,J91=1),AND(F91=1,J91=2),AND(F91=1,J91=3)),"Deficiencia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292">
        <f t="shared" si="13"/>
        <v>60</v>
      </c>
      <c r="M91" s="292">
        <v>0.15698000000000001</v>
      </c>
      <c r="N91" s="235">
        <f t="shared" si="15"/>
        <v>60.156979999999997</v>
      </c>
      <c r="O91" s="245"/>
    </row>
    <row r="92" spans="2:15" ht="52.9" customHeight="1">
      <c r="B92" s="296"/>
      <c r="C92" s="274"/>
      <c r="D92" s="253"/>
      <c r="E92" s="334"/>
      <c r="F92" s="259"/>
      <c r="G92" s="77">
        <v>2</v>
      </c>
      <c r="H92" s="124" t="s">
        <v>172</v>
      </c>
      <c r="I92" s="239"/>
      <c r="J92" s="280"/>
      <c r="K92" s="312"/>
      <c r="L92" s="292"/>
      <c r="M92" s="292"/>
      <c r="N92" s="235"/>
      <c r="O92" s="245"/>
    </row>
    <row r="93" spans="2:15" ht="37.5" customHeight="1">
      <c r="B93" s="296"/>
      <c r="C93" s="274"/>
      <c r="D93" s="253"/>
      <c r="E93" s="334"/>
      <c r="F93" s="259"/>
      <c r="G93" s="77">
        <v>3</v>
      </c>
      <c r="H93" s="124" t="s">
        <v>178</v>
      </c>
      <c r="I93" s="239"/>
      <c r="J93" s="280"/>
      <c r="K93" s="312"/>
      <c r="L93" s="292"/>
      <c r="M93" s="292"/>
      <c r="N93" s="235"/>
      <c r="O93" s="245"/>
    </row>
    <row r="94" spans="2:15" ht="21" customHeight="1">
      <c r="B94" s="296"/>
      <c r="C94" s="274"/>
      <c r="D94" s="253"/>
      <c r="E94" s="334"/>
      <c r="F94" s="259"/>
      <c r="G94" s="77">
        <v>4</v>
      </c>
      <c r="H94" s="117"/>
      <c r="I94" s="239"/>
      <c r="J94" s="280"/>
      <c r="K94" s="312"/>
      <c r="L94" s="292"/>
      <c r="M94" s="292"/>
      <c r="N94" s="235"/>
      <c r="O94" s="245"/>
    </row>
    <row r="95" spans="2:15" ht="21" customHeight="1">
      <c r="B95" s="296"/>
      <c r="C95" s="274"/>
      <c r="D95" s="253"/>
      <c r="E95" s="334"/>
      <c r="F95" s="259"/>
      <c r="G95" s="77">
        <v>5</v>
      </c>
      <c r="H95" s="117"/>
      <c r="I95" s="239"/>
      <c r="J95" s="280"/>
      <c r="K95" s="312"/>
      <c r="L95" s="292"/>
      <c r="M95" s="292"/>
      <c r="N95" s="235"/>
      <c r="O95" s="245"/>
    </row>
    <row r="96" spans="2:15" ht="21" customHeight="1">
      <c r="B96" s="296"/>
      <c r="C96" s="274"/>
      <c r="D96" s="253"/>
      <c r="E96" s="334"/>
      <c r="F96" s="259"/>
      <c r="G96" s="77">
        <v>6</v>
      </c>
      <c r="H96" s="117"/>
      <c r="I96" s="239"/>
      <c r="J96" s="280"/>
      <c r="K96" s="312"/>
      <c r="L96" s="292"/>
      <c r="M96" s="292"/>
      <c r="N96" s="235"/>
      <c r="O96" s="245"/>
    </row>
    <row r="97" spans="2:15" ht="21" customHeight="1">
      <c r="B97" s="296"/>
      <c r="C97" s="274"/>
      <c r="D97" s="253"/>
      <c r="E97" s="334"/>
      <c r="F97" s="259"/>
      <c r="G97" s="77">
        <v>7</v>
      </c>
      <c r="H97" s="117"/>
      <c r="I97" s="239"/>
      <c r="J97" s="280"/>
      <c r="K97" s="312"/>
      <c r="L97" s="292"/>
      <c r="M97" s="292"/>
      <c r="N97" s="235"/>
      <c r="O97" s="245"/>
    </row>
    <row r="98" spans="2:15" ht="21" customHeight="1" thickBot="1">
      <c r="B98" s="297"/>
      <c r="C98" s="275"/>
      <c r="D98" s="254"/>
      <c r="E98" s="335"/>
      <c r="F98" s="260"/>
      <c r="G98" s="81">
        <v>8</v>
      </c>
      <c r="H98" s="118"/>
      <c r="I98" s="240"/>
      <c r="J98" s="281"/>
      <c r="K98" s="313"/>
      <c r="L98" s="292"/>
      <c r="M98" s="292"/>
      <c r="N98" s="235"/>
      <c r="O98" s="245"/>
    </row>
    <row r="99" spans="2:15" ht="23.25" customHeight="1">
      <c r="B99" s="300"/>
      <c r="C99" s="305" t="s">
        <v>179</v>
      </c>
      <c r="D99" s="284" t="s">
        <v>8</v>
      </c>
      <c r="E99" s="339" t="s">
        <v>114</v>
      </c>
      <c r="F99" s="287" t="s">
        <v>115</v>
      </c>
      <c r="G99" s="328" t="s">
        <v>116</v>
      </c>
      <c r="H99" s="329"/>
      <c r="I99" s="330"/>
      <c r="J99" s="287" t="s">
        <v>117</v>
      </c>
      <c r="K99" s="314" t="s">
        <v>161</v>
      </c>
      <c r="L99" s="293"/>
      <c r="M99" s="293"/>
      <c r="N99" s="243"/>
      <c r="O99" s="246"/>
    </row>
    <row r="100" spans="2:15" ht="42" customHeight="1">
      <c r="B100" s="300"/>
      <c r="C100" s="305"/>
      <c r="D100" s="285"/>
      <c r="E100" s="340"/>
      <c r="F100" s="287"/>
      <c r="G100" s="289" t="s">
        <v>13</v>
      </c>
      <c r="H100" s="343" t="s">
        <v>15</v>
      </c>
      <c r="I100" s="331" t="s">
        <v>17</v>
      </c>
      <c r="J100" s="287"/>
      <c r="K100" s="314"/>
      <c r="L100" s="293"/>
      <c r="M100" s="293"/>
      <c r="N100" s="243"/>
      <c r="O100" s="246"/>
    </row>
    <row r="101" spans="2:15" ht="87.75" customHeight="1" thickBot="1">
      <c r="B101" s="301"/>
      <c r="C101" s="306"/>
      <c r="D101" s="286"/>
      <c r="E101" s="332"/>
      <c r="F101" s="288"/>
      <c r="G101" s="290"/>
      <c r="H101" s="331"/>
      <c r="I101" s="332"/>
      <c r="J101" s="288"/>
      <c r="K101" s="315"/>
      <c r="L101" s="293"/>
      <c r="M101" s="293"/>
      <c r="N101" s="243"/>
      <c r="O101" s="246"/>
    </row>
    <row r="102" spans="2:15" ht="66">
      <c r="B102" s="295" t="str">
        <f>+LEFT(C102,3)</f>
        <v>3.1</v>
      </c>
      <c r="C102" s="273" t="s">
        <v>180</v>
      </c>
      <c r="D102" s="252" t="s">
        <v>181</v>
      </c>
      <c r="E102" s="276" t="s">
        <v>182</v>
      </c>
      <c r="F102" s="258">
        <v>3</v>
      </c>
      <c r="G102" s="82">
        <v>1</v>
      </c>
      <c r="H102" s="123" t="s">
        <v>173</v>
      </c>
      <c r="I102" s="236" t="s">
        <v>183</v>
      </c>
      <c r="J102" s="279">
        <v>2</v>
      </c>
      <c r="K102" s="311" t="str">
        <f t="shared" ref="K102:K118" si="17">+IF(OR(ISBLANK(F102),ISBLANK(J102)),"",IF(OR(AND(F102=1,J102=1),AND(F102=1,J102=2),AND(F102=1,J102=3)),"Deficiencia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Deficiencia de control (diseño o ejecución)</v>
      </c>
      <c r="L102" s="292">
        <f t="shared" ref="L102:L118" si="18">+IF(K102="",0,IF(K102="Deficiencia de control mayor (diseño y ejecución)",4,IF(K102="Deficiencia de control (diseño o ejecución)",20,IF(K102="Oportunidad de mejora",40,60))))</f>
        <v>20</v>
      </c>
      <c r="M102" s="292">
        <v>0.28965000000000002</v>
      </c>
      <c r="N102" s="235">
        <f t="shared" ref="N102:N118" si="19">+L102+M102</f>
        <v>20.289650000000002</v>
      </c>
      <c r="O102" s="245"/>
    </row>
    <row r="103" spans="2:15" ht="124.5" customHeight="1">
      <c r="B103" s="296"/>
      <c r="C103" s="274"/>
      <c r="D103" s="253"/>
      <c r="E103" s="277"/>
      <c r="F103" s="259"/>
      <c r="G103" s="77">
        <v>2</v>
      </c>
      <c r="H103" s="125" t="s">
        <v>184</v>
      </c>
      <c r="I103" s="239"/>
      <c r="J103" s="280"/>
      <c r="K103" s="312"/>
      <c r="L103" s="292"/>
      <c r="M103" s="292"/>
      <c r="N103" s="235"/>
      <c r="O103" s="245"/>
    </row>
    <row r="104" spans="2:15" ht="28.5" customHeight="1">
      <c r="B104" s="296"/>
      <c r="C104" s="274"/>
      <c r="D104" s="253"/>
      <c r="E104" s="277"/>
      <c r="F104" s="259"/>
      <c r="G104" s="77">
        <v>3</v>
      </c>
      <c r="H104" s="117"/>
      <c r="I104" s="239"/>
      <c r="J104" s="280"/>
      <c r="K104" s="312"/>
      <c r="L104" s="292"/>
      <c r="M104" s="292"/>
      <c r="N104" s="235"/>
      <c r="O104" s="245"/>
    </row>
    <row r="105" spans="2:15" ht="19.899999999999999" customHeight="1">
      <c r="B105" s="296"/>
      <c r="C105" s="274"/>
      <c r="D105" s="253"/>
      <c r="E105" s="277"/>
      <c r="F105" s="259"/>
      <c r="G105" s="77">
        <v>4</v>
      </c>
      <c r="H105" s="117"/>
      <c r="I105" s="239"/>
      <c r="J105" s="280"/>
      <c r="K105" s="312"/>
      <c r="L105" s="292"/>
      <c r="M105" s="292"/>
      <c r="N105" s="235"/>
      <c r="O105" s="245"/>
    </row>
    <row r="106" spans="2:15" ht="36" customHeight="1">
      <c r="B106" s="296"/>
      <c r="C106" s="274"/>
      <c r="D106" s="253"/>
      <c r="E106" s="277"/>
      <c r="F106" s="259"/>
      <c r="G106" s="77">
        <v>5</v>
      </c>
      <c r="H106" s="117"/>
      <c r="I106" s="239"/>
      <c r="J106" s="280"/>
      <c r="K106" s="312"/>
      <c r="L106" s="292"/>
      <c r="M106" s="292"/>
      <c r="N106" s="235"/>
      <c r="O106" s="245"/>
    </row>
    <row r="107" spans="2:15" ht="1.1499999999999999" customHeight="1" thickBot="1">
      <c r="B107" s="296"/>
      <c r="C107" s="274"/>
      <c r="D107" s="253"/>
      <c r="E107" s="277"/>
      <c r="F107" s="259"/>
      <c r="G107" s="77">
        <v>6</v>
      </c>
      <c r="H107" s="117"/>
      <c r="I107" s="239"/>
      <c r="J107" s="280"/>
      <c r="K107" s="312"/>
      <c r="L107" s="292"/>
      <c r="M107" s="292"/>
      <c r="N107" s="235"/>
      <c r="O107" s="245"/>
    </row>
    <row r="108" spans="2:15" ht="1.9" hidden="1" customHeight="1" thickBot="1">
      <c r="B108" s="296"/>
      <c r="C108" s="274"/>
      <c r="D108" s="253"/>
      <c r="E108" s="277"/>
      <c r="F108" s="259"/>
      <c r="G108" s="77">
        <v>7</v>
      </c>
      <c r="H108" s="117"/>
      <c r="I108" s="239"/>
      <c r="J108" s="280"/>
      <c r="K108" s="312"/>
      <c r="L108" s="292"/>
      <c r="M108" s="292"/>
      <c r="N108" s="235"/>
      <c r="O108" s="245"/>
    </row>
    <row r="109" spans="2:15" ht="17.25" hidden="1" thickBot="1">
      <c r="B109" s="297"/>
      <c r="C109" s="275"/>
      <c r="D109" s="254"/>
      <c r="E109" s="278"/>
      <c r="F109" s="260"/>
      <c r="G109" s="81">
        <v>8</v>
      </c>
      <c r="H109" s="118"/>
      <c r="I109" s="240"/>
      <c r="J109" s="281"/>
      <c r="K109" s="313"/>
      <c r="L109" s="292"/>
      <c r="M109" s="292"/>
      <c r="N109" s="235"/>
      <c r="O109" s="245"/>
    </row>
    <row r="110" spans="2:15" ht="63" customHeight="1">
      <c r="B110" s="295" t="str">
        <f>+LEFT(C110,3)</f>
        <v>3.2</v>
      </c>
      <c r="C110" s="369" t="s">
        <v>185</v>
      </c>
      <c r="D110" s="252" t="s">
        <v>186</v>
      </c>
      <c r="E110" s="236" t="s">
        <v>187</v>
      </c>
      <c r="F110" s="258">
        <v>3</v>
      </c>
      <c r="G110" s="82">
        <v>1</v>
      </c>
      <c r="H110" s="123" t="s">
        <v>188</v>
      </c>
      <c r="I110" s="236" t="s">
        <v>189</v>
      </c>
      <c r="J110" s="279">
        <v>2</v>
      </c>
      <c r="K110" s="311" t="str">
        <f t="shared" si="17"/>
        <v>Deficiencia de control (diseño o ejecución)</v>
      </c>
      <c r="L110" s="292">
        <f t="shared" si="18"/>
        <v>20</v>
      </c>
      <c r="M110" s="292">
        <v>0.38965300000000003</v>
      </c>
      <c r="N110" s="235">
        <f t="shared" si="19"/>
        <v>20.389652999999999</v>
      </c>
      <c r="O110" s="245"/>
    </row>
    <row r="111" spans="2:15" ht="58.5" customHeight="1">
      <c r="B111" s="296"/>
      <c r="C111" s="370"/>
      <c r="D111" s="253"/>
      <c r="E111" s="237"/>
      <c r="F111" s="259"/>
      <c r="G111" s="77">
        <v>2</v>
      </c>
      <c r="H111" s="124" t="s">
        <v>190</v>
      </c>
      <c r="I111" s="239"/>
      <c r="J111" s="280"/>
      <c r="K111" s="312"/>
      <c r="L111" s="292"/>
      <c r="M111" s="292"/>
      <c r="N111" s="235"/>
      <c r="O111" s="245"/>
    </row>
    <row r="112" spans="2:15" ht="16.5">
      <c r="B112" s="296"/>
      <c r="C112" s="370"/>
      <c r="D112" s="253"/>
      <c r="E112" s="237"/>
      <c r="F112" s="259"/>
      <c r="G112" s="77">
        <v>3</v>
      </c>
      <c r="H112" s="117"/>
      <c r="I112" s="239"/>
      <c r="J112" s="280"/>
      <c r="K112" s="312"/>
      <c r="L112" s="292"/>
      <c r="M112" s="292"/>
      <c r="N112" s="235"/>
      <c r="O112" s="245"/>
    </row>
    <row r="113" spans="2:15" ht="16.5">
      <c r="B113" s="296"/>
      <c r="C113" s="370"/>
      <c r="D113" s="253"/>
      <c r="E113" s="237"/>
      <c r="F113" s="259"/>
      <c r="G113" s="77">
        <v>4</v>
      </c>
      <c r="H113" s="117"/>
      <c r="I113" s="239"/>
      <c r="J113" s="280"/>
      <c r="K113" s="312"/>
      <c r="L113" s="292"/>
      <c r="M113" s="292"/>
      <c r="N113" s="235"/>
      <c r="O113" s="245"/>
    </row>
    <row r="114" spans="2:15" ht="16.5">
      <c r="B114" s="296"/>
      <c r="C114" s="370"/>
      <c r="D114" s="253"/>
      <c r="E114" s="237"/>
      <c r="F114" s="259"/>
      <c r="G114" s="77">
        <v>5</v>
      </c>
      <c r="H114" s="117"/>
      <c r="I114" s="239"/>
      <c r="J114" s="280"/>
      <c r="K114" s="312"/>
      <c r="L114" s="292"/>
      <c r="M114" s="292"/>
      <c r="N114" s="235"/>
      <c r="O114" s="245"/>
    </row>
    <row r="115" spans="2:15" ht="16.5">
      <c r="B115" s="296"/>
      <c r="C115" s="370"/>
      <c r="D115" s="253"/>
      <c r="E115" s="237"/>
      <c r="F115" s="259"/>
      <c r="G115" s="77">
        <v>6</v>
      </c>
      <c r="H115" s="117"/>
      <c r="I115" s="239"/>
      <c r="J115" s="280"/>
      <c r="K115" s="312"/>
      <c r="L115" s="292"/>
      <c r="M115" s="292"/>
      <c r="N115" s="235"/>
      <c r="O115" s="245"/>
    </row>
    <row r="116" spans="2:15" ht="16.5">
      <c r="B116" s="296"/>
      <c r="C116" s="370"/>
      <c r="D116" s="253"/>
      <c r="E116" s="237"/>
      <c r="F116" s="259"/>
      <c r="G116" s="77">
        <v>7</v>
      </c>
      <c r="H116" s="117"/>
      <c r="I116" s="239"/>
      <c r="J116" s="280"/>
      <c r="K116" s="312"/>
      <c r="L116" s="292"/>
      <c r="M116" s="292"/>
      <c r="N116" s="235"/>
      <c r="O116" s="245"/>
    </row>
    <row r="117" spans="2:15" ht="49.9" customHeight="1" thickBot="1">
      <c r="B117" s="297"/>
      <c r="C117" s="371"/>
      <c r="D117" s="254"/>
      <c r="E117" s="238"/>
      <c r="F117" s="260"/>
      <c r="G117" s="81">
        <v>8</v>
      </c>
      <c r="H117" s="118"/>
      <c r="I117" s="240"/>
      <c r="J117" s="281"/>
      <c r="K117" s="313"/>
      <c r="L117" s="292"/>
      <c r="M117" s="292"/>
      <c r="N117" s="235"/>
      <c r="O117" s="245"/>
    </row>
    <row r="118" spans="2:15" ht="115.5">
      <c r="B118" s="295" t="str">
        <f>+LEFT(C118,3)</f>
        <v>3.3</v>
      </c>
      <c r="C118" s="369" t="s">
        <v>191</v>
      </c>
      <c r="D118" s="252" t="s">
        <v>192</v>
      </c>
      <c r="E118" s="236" t="s">
        <v>193</v>
      </c>
      <c r="F118" s="261">
        <v>3</v>
      </c>
      <c r="G118" s="82">
        <v>1</v>
      </c>
      <c r="H118" s="135" t="s">
        <v>194</v>
      </c>
      <c r="I118" s="236" t="s">
        <v>195</v>
      </c>
      <c r="J118" s="366">
        <v>3</v>
      </c>
      <c r="K118" s="311" t="str">
        <f t="shared" si="17"/>
        <v>Mantenimiento del control</v>
      </c>
      <c r="L118" s="292">
        <f t="shared" si="18"/>
        <v>60</v>
      </c>
      <c r="M118" s="292">
        <v>0.48964999999999997</v>
      </c>
      <c r="N118" s="235">
        <f t="shared" si="19"/>
        <v>60.489649999999997</v>
      </c>
      <c r="O118" s="245"/>
    </row>
    <row r="119" spans="2:15" ht="21" customHeight="1">
      <c r="B119" s="296"/>
      <c r="C119" s="370"/>
      <c r="D119" s="253"/>
      <c r="E119" s="239"/>
      <c r="F119" s="262"/>
      <c r="G119" s="77">
        <v>2</v>
      </c>
      <c r="H119" s="124" t="s">
        <v>196</v>
      </c>
      <c r="I119" s="239"/>
      <c r="J119" s="367"/>
      <c r="K119" s="312"/>
      <c r="L119" s="292"/>
      <c r="M119" s="292"/>
      <c r="N119" s="235"/>
      <c r="O119" s="245"/>
    </row>
    <row r="120" spans="2:15" ht="86.45" customHeight="1">
      <c r="B120" s="296"/>
      <c r="C120" s="370"/>
      <c r="D120" s="253"/>
      <c r="E120" s="239"/>
      <c r="F120" s="262"/>
      <c r="G120" s="77">
        <v>3</v>
      </c>
      <c r="H120" s="131"/>
      <c r="I120" s="239"/>
      <c r="J120" s="367"/>
      <c r="K120" s="312"/>
      <c r="L120" s="292"/>
      <c r="M120" s="292"/>
      <c r="N120" s="235"/>
      <c r="O120" s="245"/>
    </row>
    <row r="121" spans="2:15" ht="1.9" customHeight="1" thickBot="1">
      <c r="B121" s="296"/>
      <c r="C121" s="370"/>
      <c r="D121" s="253"/>
      <c r="E121" s="239"/>
      <c r="F121" s="262"/>
      <c r="G121" s="77">
        <v>4</v>
      </c>
      <c r="H121" s="117"/>
      <c r="I121" s="239"/>
      <c r="J121" s="367"/>
      <c r="K121" s="312"/>
      <c r="L121" s="292"/>
      <c r="M121" s="292"/>
      <c r="N121" s="235"/>
      <c r="O121" s="245"/>
    </row>
    <row r="122" spans="2:15" ht="21" hidden="1" customHeight="1" thickBot="1">
      <c r="B122" s="296"/>
      <c r="C122" s="370"/>
      <c r="D122" s="253"/>
      <c r="E122" s="239"/>
      <c r="F122" s="262"/>
      <c r="G122" s="77">
        <v>5</v>
      </c>
      <c r="H122" s="117"/>
      <c r="I122" s="239"/>
      <c r="J122" s="367"/>
      <c r="K122" s="312"/>
      <c r="L122" s="292"/>
      <c r="M122" s="292"/>
      <c r="N122" s="235"/>
      <c r="O122" s="245"/>
    </row>
    <row r="123" spans="2:15" ht="21" hidden="1" customHeight="1" thickBot="1">
      <c r="B123" s="296"/>
      <c r="C123" s="370"/>
      <c r="D123" s="253"/>
      <c r="E123" s="239"/>
      <c r="F123" s="262"/>
      <c r="G123" s="77">
        <v>6</v>
      </c>
      <c r="H123" s="117"/>
      <c r="I123" s="239"/>
      <c r="J123" s="367"/>
      <c r="K123" s="312"/>
      <c r="L123" s="292"/>
      <c r="M123" s="292"/>
      <c r="N123" s="235"/>
      <c r="O123" s="245"/>
    </row>
    <row r="124" spans="2:15" ht="21" hidden="1" customHeight="1" thickBot="1">
      <c r="B124" s="296"/>
      <c r="C124" s="370"/>
      <c r="D124" s="253"/>
      <c r="E124" s="239"/>
      <c r="F124" s="262"/>
      <c r="G124" s="77">
        <v>7</v>
      </c>
      <c r="H124" s="117"/>
      <c r="I124" s="239"/>
      <c r="J124" s="367"/>
      <c r="K124" s="312"/>
      <c r="L124" s="292"/>
      <c r="M124" s="292"/>
      <c r="N124" s="235"/>
      <c r="O124" s="245"/>
    </row>
    <row r="125" spans="2:15" ht="21" hidden="1" customHeight="1" thickBot="1">
      <c r="B125" s="297"/>
      <c r="C125" s="371"/>
      <c r="D125" s="254"/>
      <c r="E125" s="240"/>
      <c r="F125" s="263"/>
      <c r="G125" s="81">
        <v>8</v>
      </c>
      <c r="H125" s="118"/>
      <c r="I125" s="240"/>
      <c r="J125" s="368"/>
      <c r="K125" s="313"/>
      <c r="L125" s="292"/>
      <c r="M125" s="292"/>
      <c r="N125" s="235"/>
      <c r="O125" s="245"/>
    </row>
    <row r="126" spans="2:15" ht="27.75" customHeight="1">
      <c r="B126" s="298"/>
      <c r="C126" s="282" t="s">
        <v>197</v>
      </c>
      <c r="D126" s="284" t="s">
        <v>8</v>
      </c>
      <c r="E126" s="339" t="s">
        <v>114</v>
      </c>
      <c r="F126" s="287" t="s">
        <v>115</v>
      </c>
      <c r="G126" s="328" t="s">
        <v>116</v>
      </c>
      <c r="H126" s="329"/>
      <c r="I126" s="330"/>
      <c r="J126" s="287" t="s">
        <v>117</v>
      </c>
      <c r="K126" s="316" t="s">
        <v>161</v>
      </c>
      <c r="L126" s="293"/>
      <c r="M126" s="293"/>
      <c r="N126" s="243"/>
      <c r="O126" s="246"/>
    </row>
    <row r="127" spans="2:15" ht="66" customHeight="1">
      <c r="B127" s="299"/>
      <c r="C127" s="283"/>
      <c r="D127" s="285"/>
      <c r="E127" s="340"/>
      <c r="F127" s="287"/>
      <c r="G127" s="289" t="s">
        <v>13</v>
      </c>
      <c r="H127" s="343" t="s">
        <v>15</v>
      </c>
      <c r="I127" s="331" t="s">
        <v>17</v>
      </c>
      <c r="J127" s="287"/>
      <c r="K127" s="314"/>
      <c r="L127" s="293"/>
      <c r="M127" s="293"/>
      <c r="N127" s="243"/>
      <c r="O127" s="246"/>
    </row>
    <row r="128" spans="2:15" ht="14.25" customHeight="1" thickBot="1">
      <c r="B128" s="299"/>
      <c r="C128" s="283"/>
      <c r="D128" s="286"/>
      <c r="E128" s="332"/>
      <c r="F128" s="288"/>
      <c r="G128" s="290"/>
      <c r="H128" s="331"/>
      <c r="I128" s="332"/>
      <c r="J128" s="288"/>
      <c r="K128" s="315"/>
      <c r="L128" s="293"/>
      <c r="M128" s="293"/>
      <c r="N128" s="243"/>
      <c r="O128" s="246"/>
    </row>
    <row r="129" spans="2:15" ht="99">
      <c r="B129" s="295" t="str">
        <f>+LEFT(C129,3)</f>
        <v>4.1</v>
      </c>
      <c r="C129" s="273" t="s">
        <v>198</v>
      </c>
      <c r="D129" s="252" t="s">
        <v>199</v>
      </c>
      <c r="E129" s="333" t="s">
        <v>200</v>
      </c>
      <c r="F129" s="258">
        <v>3</v>
      </c>
      <c r="G129" s="82">
        <v>1</v>
      </c>
      <c r="H129" s="123" t="s">
        <v>201</v>
      </c>
      <c r="I129" s="236" t="s">
        <v>202</v>
      </c>
      <c r="J129" s="261">
        <v>3</v>
      </c>
      <c r="K129" s="291" t="str">
        <f t="shared" ref="K129:K177" si="20">+IF(OR(ISBLANK(F129),ISBLANK(J129)),"",IF(OR(AND(F129=1,J129=1),AND(F129=1,J129=2),AND(F129=1,J129=3)),"Deficiencia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Mantenimiento del control</v>
      </c>
      <c r="L129" s="292">
        <f t="shared" ref="L129:L177" si="21">+IF(K129="",0,IF(K129="Deficiencia de control mayor (diseño y ejecución)",4,IF(K129="Deficiencia de control (diseño o ejecución)",20,IF(K129="Oportunidad de mejora",40,60))))</f>
        <v>60</v>
      </c>
      <c r="M129" s="292">
        <v>0.58965000000000001</v>
      </c>
      <c r="N129" s="235">
        <f t="shared" ref="N129:N177" si="22">+L129+M129</f>
        <v>60.589649999999999</v>
      </c>
      <c r="O129" s="245"/>
    </row>
    <row r="130" spans="2:15" ht="19.149999999999999" customHeight="1">
      <c r="B130" s="296"/>
      <c r="C130" s="274"/>
      <c r="D130" s="253"/>
      <c r="E130" s="334"/>
      <c r="F130" s="259"/>
      <c r="G130" s="77">
        <v>2</v>
      </c>
      <c r="H130" s="124"/>
      <c r="I130" s="239"/>
      <c r="J130" s="262"/>
      <c r="K130" s="291"/>
      <c r="L130" s="292"/>
      <c r="M130" s="292"/>
      <c r="N130" s="235"/>
      <c r="O130" s="245"/>
    </row>
    <row r="131" spans="2:15" ht="26.65" customHeight="1">
      <c r="B131" s="296"/>
      <c r="C131" s="274"/>
      <c r="D131" s="253"/>
      <c r="E131" s="334"/>
      <c r="F131" s="259"/>
      <c r="G131" s="77">
        <v>3</v>
      </c>
      <c r="H131" s="130"/>
      <c r="I131" s="239"/>
      <c r="J131" s="262"/>
      <c r="K131" s="291"/>
      <c r="L131" s="292"/>
      <c r="M131" s="292"/>
      <c r="N131" s="235"/>
      <c r="O131" s="245"/>
    </row>
    <row r="132" spans="2:15" ht="21" customHeight="1" thickBot="1">
      <c r="B132" s="296"/>
      <c r="C132" s="274"/>
      <c r="D132" s="253"/>
      <c r="E132" s="334"/>
      <c r="F132" s="259"/>
      <c r="G132" s="77">
        <v>4</v>
      </c>
      <c r="H132" s="132"/>
      <c r="I132" s="239"/>
      <c r="J132" s="262"/>
      <c r="K132" s="291"/>
      <c r="L132" s="292"/>
      <c r="M132" s="292"/>
      <c r="N132" s="235"/>
      <c r="O132" s="245"/>
    </row>
    <row r="133" spans="2:15" ht="0.4" customHeight="1" thickBot="1">
      <c r="B133" s="296"/>
      <c r="C133" s="274"/>
      <c r="D133" s="253"/>
      <c r="E133" s="334"/>
      <c r="F133" s="259"/>
      <c r="G133" s="77">
        <v>5</v>
      </c>
      <c r="H133" s="117"/>
      <c r="I133" s="239"/>
      <c r="J133" s="262"/>
      <c r="K133" s="291"/>
      <c r="L133" s="292"/>
      <c r="M133" s="292"/>
      <c r="N133" s="235"/>
      <c r="O133" s="245"/>
    </row>
    <row r="134" spans="2:15" ht="3.4" hidden="1" customHeight="1" thickBot="1">
      <c r="B134" s="296"/>
      <c r="C134" s="274"/>
      <c r="D134" s="253"/>
      <c r="E134" s="334"/>
      <c r="F134" s="259"/>
      <c r="G134" s="77">
        <v>6</v>
      </c>
      <c r="H134" s="117"/>
      <c r="I134" s="239"/>
      <c r="J134" s="262"/>
      <c r="K134" s="291"/>
      <c r="L134" s="292"/>
      <c r="M134" s="292"/>
      <c r="N134" s="235"/>
      <c r="O134" s="245"/>
    </row>
    <row r="135" spans="2:15" ht="21" hidden="1" customHeight="1" thickBot="1">
      <c r="B135" s="296"/>
      <c r="C135" s="274"/>
      <c r="D135" s="253"/>
      <c r="E135" s="334"/>
      <c r="F135" s="259"/>
      <c r="G135" s="77">
        <v>7</v>
      </c>
      <c r="H135" s="117"/>
      <c r="I135" s="239"/>
      <c r="J135" s="262"/>
      <c r="K135" s="291"/>
      <c r="L135" s="292"/>
      <c r="M135" s="292"/>
      <c r="N135" s="235"/>
      <c r="O135" s="245"/>
    </row>
    <row r="136" spans="2:15" ht="21" hidden="1" customHeight="1" thickBot="1">
      <c r="B136" s="297"/>
      <c r="C136" s="275"/>
      <c r="D136" s="254"/>
      <c r="E136" s="335"/>
      <c r="F136" s="260"/>
      <c r="G136" s="81">
        <v>8</v>
      </c>
      <c r="H136" s="118"/>
      <c r="I136" s="240"/>
      <c r="J136" s="263"/>
      <c r="K136" s="291"/>
      <c r="L136" s="292"/>
      <c r="M136" s="292"/>
      <c r="N136" s="235"/>
      <c r="O136" s="245"/>
    </row>
    <row r="137" spans="2:15" ht="82.5">
      <c r="B137" s="295" t="str">
        <f>+LEFT(C137,3)</f>
        <v>4.2</v>
      </c>
      <c r="C137" s="273" t="s">
        <v>203</v>
      </c>
      <c r="D137" s="252" t="s">
        <v>199</v>
      </c>
      <c r="E137" s="333" t="s">
        <v>204</v>
      </c>
      <c r="F137" s="258">
        <v>3</v>
      </c>
      <c r="G137" s="82">
        <v>1</v>
      </c>
      <c r="H137" s="123" t="s">
        <v>205</v>
      </c>
      <c r="I137" s="236" t="s">
        <v>206</v>
      </c>
      <c r="J137" s="261">
        <v>2</v>
      </c>
      <c r="K137" s="291" t="str">
        <f t="shared" si="20"/>
        <v>Deficiencia de control (diseño o ejecución)</v>
      </c>
      <c r="L137" s="292">
        <f t="shared" si="21"/>
        <v>20</v>
      </c>
      <c r="M137" s="292">
        <v>0.68964999999999999</v>
      </c>
      <c r="N137" s="235">
        <f t="shared" si="22"/>
        <v>20.68965</v>
      </c>
      <c r="O137" s="245"/>
    </row>
    <row r="138" spans="2:15" ht="66">
      <c r="B138" s="296"/>
      <c r="C138" s="274"/>
      <c r="D138" s="253"/>
      <c r="E138" s="334"/>
      <c r="F138" s="259"/>
      <c r="G138" s="77">
        <v>2</v>
      </c>
      <c r="H138" s="124" t="s">
        <v>207</v>
      </c>
      <c r="I138" s="237"/>
      <c r="J138" s="262"/>
      <c r="K138" s="291"/>
      <c r="L138" s="292"/>
      <c r="M138" s="292"/>
      <c r="N138" s="235"/>
      <c r="O138" s="245"/>
    </row>
    <row r="139" spans="2:15" ht="1.9" customHeight="1">
      <c r="B139" s="296"/>
      <c r="C139" s="274"/>
      <c r="D139" s="253"/>
      <c r="E139" s="334"/>
      <c r="F139" s="259"/>
      <c r="G139" s="77">
        <v>3</v>
      </c>
      <c r="H139" s="117"/>
      <c r="I139" s="237"/>
      <c r="J139" s="262"/>
      <c r="K139" s="291"/>
      <c r="L139" s="292"/>
      <c r="M139" s="292"/>
      <c r="N139" s="235"/>
      <c r="O139" s="245"/>
    </row>
    <row r="140" spans="2:15" ht="21" hidden="1" customHeight="1" thickBot="1">
      <c r="B140" s="296"/>
      <c r="C140" s="274"/>
      <c r="D140" s="253"/>
      <c r="E140" s="334"/>
      <c r="F140" s="259"/>
      <c r="G140" s="77">
        <v>4</v>
      </c>
      <c r="H140" s="117"/>
      <c r="I140" s="237"/>
      <c r="J140" s="262"/>
      <c r="K140" s="291"/>
      <c r="L140" s="292"/>
      <c r="M140" s="292"/>
      <c r="N140" s="235"/>
      <c r="O140" s="245"/>
    </row>
    <row r="141" spans="2:15" ht="21" hidden="1" customHeight="1" thickBot="1">
      <c r="B141" s="296"/>
      <c r="C141" s="274"/>
      <c r="D141" s="253"/>
      <c r="E141" s="334"/>
      <c r="F141" s="259"/>
      <c r="G141" s="77">
        <v>5</v>
      </c>
      <c r="H141" s="117"/>
      <c r="I141" s="237"/>
      <c r="J141" s="262"/>
      <c r="K141" s="291"/>
      <c r="L141" s="292"/>
      <c r="M141" s="292"/>
      <c r="N141" s="235"/>
      <c r="O141" s="245"/>
    </row>
    <row r="142" spans="2:15" ht="21" hidden="1" customHeight="1" thickBot="1">
      <c r="B142" s="296"/>
      <c r="C142" s="274"/>
      <c r="D142" s="253"/>
      <c r="E142" s="334"/>
      <c r="F142" s="259"/>
      <c r="G142" s="77">
        <v>6</v>
      </c>
      <c r="H142" s="117"/>
      <c r="I142" s="237"/>
      <c r="J142" s="262"/>
      <c r="K142" s="291"/>
      <c r="L142" s="292"/>
      <c r="M142" s="292"/>
      <c r="N142" s="235"/>
      <c r="O142" s="245"/>
    </row>
    <row r="143" spans="2:15" ht="130.5" customHeight="1">
      <c r="B143" s="296"/>
      <c r="C143" s="274"/>
      <c r="D143" s="253"/>
      <c r="E143" s="334"/>
      <c r="F143" s="259"/>
      <c r="G143" s="77">
        <v>7</v>
      </c>
      <c r="H143" s="117"/>
      <c r="I143" s="237"/>
      <c r="J143" s="262"/>
      <c r="K143" s="291"/>
      <c r="L143" s="292"/>
      <c r="M143" s="292"/>
      <c r="N143" s="235"/>
      <c r="O143" s="245"/>
    </row>
    <row r="144" spans="2:15" ht="91.5" customHeight="1" thickBot="1">
      <c r="B144" s="297"/>
      <c r="C144" s="275"/>
      <c r="D144" s="254"/>
      <c r="E144" s="335"/>
      <c r="F144" s="260"/>
      <c r="G144" s="81">
        <v>8</v>
      </c>
      <c r="H144" s="132"/>
      <c r="I144" s="238"/>
      <c r="J144" s="263"/>
      <c r="K144" s="291"/>
      <c r="L144" s="292"/>
      <c r="M144" s="292"/>
      <c r="N144" s="235"/>
      <c r="O144" s="245"/>
    </row>
    <row r="145" spans="2:15" ht="58.15" customHeight="1">
      <c r="B145" s="295" t="str">
        <f>+LEFT(C145,3)</f>
        <v>4.3</v>
      </c>
      <c r="C145" s="273" t="s">
        <v>208</v>
      </c>
      <c r="D145" s="252" t="s">
        <v>199</v>
      </c>
      <c r="E145" s="236" t="s">
        <v>209</v>
      </c>
      <c r="F145" s="261">
        <v>3</v>
      </c>
      <c r="G145" s="82">
        <v>1</v>
      </c>
      <c r="H145" s="123" t="s">
        <v>205</v>
      </c>
      <c r="I145" s="376" t="s">
        <v>210</v>
      </c>
      <c r="J145" s="261">
        <v>2</v>
      </c>
      <c r="K145" s="291" t="str">
        <f t="shared" si="20"/>
        <v>Deficiencia de control (diseño o ejecución)</v>
      </c>
      <c r="L145" s="292">
        <f t="shared" si="21"/>
        <v>20</v>
      </c>
      <c r="M145" s="292">
        <v>0.78964999999999996</v>
      </c>
      <c r="N145" s="235">
        <f t="shared" si="22"/>
        <v>20.789650000000002</v>
      </c>
      <c r="O145" s="245"/>
    </row>
    <row r="146" spans="2:15" ht="66">
      <c r="B146" s="296"/>
      <c r="C146" s="274"/>
      <c r="D146" s="253"/>
      <c r="E146" s="237"/>
      <c r="F146" s="262"/>
      <c r="G146" s="77">
        <v>2</v>
      </c>
      <c r="H146" s="124" t="s">
        <v>207</v>
      </c>
      <c r="I146" s="377"/>
      <c r="J146" s="262"/>
      <c r="K146" s="291"/>
      <c r="L146" s="292"/>
      <c r="M146" s="292"/>
      <c r="N146" s="235"/>
      <c r="O146" s="245"/>
    </row>
    <row r="147" spans="2:15" ht="21" customHeight="1">
      <c r="B147" s="296"/>
      <c r="C147" s="274"/>
      <c r="D147" s="253"/>
      <c r="E147" s="237"/>
      <c r="F147" s="262"/>
      <c r="G147" s="77">
        <v>3</v>
      </c>
      <c r="H147" s="117"/>
      <c r="I147" s="377"/>
      <c r="J147" s="262"/>
      <c r="K147" s="291"/>
      <c r="L147" s="292"/>
      <c r="M147" s="292"/>
      <c r="N147" s="235"/>
      <c r="O147" s="245"/>
    </row>
    <row r="148" spans="2:15" ht="21" customHeight="1">
      <c r="B148" s="296"/>
      <c r="C148" s="274"/>
      <c r="D148" s="253"/>
      <c r="E148" s="237"/>
      <c r="F148" s="262"/>
      <c r="G148" s="77">
        <v>4</v>
      </c>
      <c r="H148" s="117"/>
      <c r="I148" s="377"/>
      <c r="J148" s="262"/>
      <c r="K148" s="291"/>
      <c r="L148" s="292"/>
      <c r="M148" s="292"/>
      <c r="N148" s="235"/>
      <c r="O148" s="245"/>
    </row>
    <row r="149" spans="2:15" ht="1.9" customHeight="1" thickBot="1">
      <c r="B149" s="296"/>
      <c r="C149" s="274"/>
      <c r="D149" s="253"/>
      <c r="E149" s="237"/>
      <c r="F149" s="262"/>
      <c r="G149" s="77">
        <v>5</v>
      </c>
      <c r="H149" s="117"/>
      <c r="I149" s="377"/>
      <c r="J149" s="262"/>
      <c r="K149" s="291"/>
      <c r="L149" s="292"/>
      <c r="M149" s="292"/>
      <c r="N149" s="235"/>
      <c r="O149" s="245"/>
    </row>
    <row r="150" spans="2:15" ht="21" hidden="1" customHeight="1" thickBot="1">
      <c r="B150" s="296"/>
      <c r="C150" s="274"/>
      <c r="D150" s="253"/>
      <c r="E150" s="237"/>
      <c r="F150" s="262"/>
      <c r="G150" s="77">
        <v>6</v>
      </c>
      <c r="H150" s="117"/>
      <c r="I150" s="377"/>
      <c r="J150" s="262"/>
      <c r="K150" s="291"/>
      <c r="L150" s="292"/>
      <c r="M150" s="292"/>
      <c r="N150" s="235"/>
      <c r="O150" s="245"/>
    </row>
    <row r="151" spans="2:15" ht="21" hidden="1" customHeight="1" thickBot="1">
      <c r="B151" s="296"/>
      <c r="C151" s="274"/>
      <c r="D151" s="253"/>
      <c r="E151" s="237"/>
      <c r="F151" s="262"/>
      <c r="G151" s="77">
        <v>7</v>
      </c>
      <c r="H151" s="117"/>
      <c r="I151" s="377"/>
      <c r="J151" s="262"/>
      <c r="K151" s="291"/>
      <c r="L151" s="292"/>
      <c r="M151" s="292"/>
      <c r="N151" s="235"/>
      <c r="O151" s="245"/>
    </row>
    <row r="152" spans="2:15" ht="21" hidden="1" customHeight="1" thickBot="1">
      <c r="B152" s="297"/>
      <c r="C152" s="275"/>
      <c r="D152" s="254"/>
      <c r="E152" s="238"/>
      <c r="F152" s="263"/>
      <c r="G152" s="81">
        <v>8</v>
      </c>
      <c r="H152" s="118"/>
      <c r="I152" s="378"/>
      <c r="J152" s="263"/>
      <c r="K152" s="291"/>
      <c r="L152" s="292"/>
      <c r="M152" s="292"/>
      <c r="N152" s="235"/>
      <c r="O152" s="245"/>
    </row>
    <row r="153" spans="2:15" ht="115.5">
      <c r="B153" s="295" t="str">
        <f>+LEFT(C153,3)</f>
        <v>4.4</v>
      </c>
      <c r="C153" s="273" t="s">
        <v>211</v>
      </c>
      <c r="D153" s="252" t="s">
        <v>199</v>
      </c>
      <c r="E153" s="333" t="s">
        <v>212</v>
      </c>
      <c r="F153" s="261">
        <v>3</v>
      </c>
      <c r="G153" s="82">
        <v>1</v>
      </c>
      <c r="H153" s="123" t="s">
        <v>213</v>
      </c>
      <c r="I153" s="236" t="s">
        <v>177</v>
      </c>
      <c r="J153" s="261">
        <v>3</v>
      </c>
      <c r="K153" s="291" t="str">
        <f t="shared" si="20"/>
        <v>Mantenimiento del control</v>
      </c>
      <c r="L153" s="292">
        <f t="shared" si="21"/>
        <v>60</v>
      </c>
      <c r="M153" s="292">
        <v>0.88965000000000005</v>
      </c>
      <c r="N153" s="235">
        <f t="shared" si="22"/>
        <v>60.889650000000003</v>
      </c>
      <c r="O153" s="245"/>
    </row>
    <row r="154" spans="2:15" ht="59.65" customHeight="1" thickBot="1">
      <c r="B154" s="296"/>
      <c r="C154" s="274"/>
      <c r="D154" s="253"/>
      <c r="E154" s="334"/>
      <c r="F154" s="262"/>
      <c r="G154" s="77">
        <v>2</v>
      </c>
      <c r="H154" s="124" t="s">
        <v>178</v>
      </c>
      <c r="I154" s="239"/>
      <c r="J154" s="262"/>
      <c r="K154" s="291"/>
      <c r="L154" s="292"/>
      <c r="M154" s="292"/>
      <c r="N154" s="235"/>
      <c r="O154" s="245"/>
    </row>
    <row r="155" spans="2:15" ht="3" hidden="1" customHeight="1" thickBot="1">
      <c r="B155" s="296"/>
      <c r="C155" s="274"/>
      <c r="D155" s="253"/>
      <c r="E155" s="334"/>
      <c r="F155" s="262"/>
      <c r="G155" s="77">
        <v>3</v>
      </c>
      <c r="H155" s="117"/>
      <c r="I155" s="239"/>
      <c r="J155" s="262"/>
      <c r="K155" s="291"/>
      <c r="L155" s="292"/>
      <c r="M155" s="292"/>
      <c r="N155" s="235"/>
      <c r="O155" s="245"/>
    </row>
    <row r="156" spans="2:15" ht="21" hidden="1" customHeight="1" thickBot="1">
      <c r="B156" s="296"/>
      <c r="C156" s="274"/>
      <c r="D156" s="253"/>
      <c r="E156" s="334"/>
      <c r="F156" s="262"/>
      <c r="G156" s="77">
        <v>4</v>
      </c>
      <c r="H156" s="117"/>
      <c r="I156" s="239"/>
      <c r="J156" s="262"/>
      <c r="K156" s="291"/>
      <c r="L156" s="292"/>
      <c r="M156" s="292"/>
      <c r="N156" s="235"/>
      <c r="O156" s="245"/>
    </row>
    <row r="157" spans="2:15" ht="21" hidden="1" customHeight="1" thickBot="1">
      <c r="B157" s="296"/>
      <c r="C157" s="274"/>
      <c r="D157" s="253"/>
      <c r="E157" s="334"/>
      <c r="F157" s="262"/>
      <c r="G157" s="77">
        <v>5</v>
      </c>
      <c r="H157" s="117"/>
      <c r="I157" s="239"/>
      <c r="J157" s="262"/>
      <c r="K157" s="291"/>
      <c r="L157" s="292"/>
      <c r="M157" s="292"/>
      <c r="N157" s="235"/>
      <c r="O157" s="245"/>
    </row>
    <row r="158" spans="2:15" ht="21" hidden="1" customHeight="1" thickBot="1">
      <c r="B158" s="296"/>
      <c r="C158" s="274"/>
      <c r="D158" s="253"/>
      <c r="E158" s="334"/>
      <c r="F158" s="262"/>
      <c r="G158" s="77">
        <v>6</v>
      </c>
      <c r="H158" s="117"/>
      <c r="I158" s="239"/>
      <c r="J158" s="262"/>
      <c r="K158" s="291"/>
      <c r="L158" s="292"/>
      <c r="M158" s="292"/>
      <c r="N158" s="235"/>
      <c r="O158" s="245"/>
    </row>
    <row r="159" spans="2:15" ht="21" hidden="1" customHeight="1" thickBot="1">
      <c r="B159" s="296"/>
      <c r="C159" s="274"/>
      <c r="D159" s="253"/>
      <c r="E159" s="334"/>
      <c r="F159" s="262"/>
      <c r="G159" s="77">
        <v>7</v>
      </c>
      <c r="H159" s="117"/>
      <c r="I159" s="239"/>
      <c r="J159" s="262"/>
      <c r="K159" s="291"/>
      <c r="L159" s="292"/>
      <c r="M159" s="292"/>
      <c r="N159" s="235"/>
      <c r="O159" s="245"/>
    </row>
    <row r="160" spans="2:15" ht="21" hidden="1" customHeight="1" thickBot="1">
      <c r="B160" s="297"/>
      <c r="C160" s="275"/>
      <c r="D160" s="254"/>
      <c r="E160" s="335"/>
      <c r="F160" s="263"/>
      <c r="G160" s="81">
        <v>8</v>
      </c>
      <c r="H160" s="118"/>
      <c r="I160" s="240"/>
      <c r="J160" s="263"/>
      <c r="K160" s="291"/>
      <c r="L160" s="292"/>
      <c r="M160" s="292"/>
      <c r="N160" s="235"/>
      <c r="O160" s="245"/>
    </row>
    <row r="161" spans="2:15" ht="66">
      <c r="B161" s="295" t="str">
        <f>+LEFT(C161,3)</f>
        <v>4.5</v>
      </c>
      <c r="C161" s="273" t="s">
        <v>214</v>
      </c>
      <c r="D161" s="252" t="s">
        <v>199</v>
      </c>
      <c r="E161" s="236" t="s">
        <v>215</v>
      </c>
      <c r="F161" s="261">
        <v>3</v>
      </c>
      <c r="G161" s="82">
        <v>1</v>
      </c>
      <c r="H161" s="123" t="s">
        <v>216</v>
      </c>
      <c r="I161" s="372" t="s">
        <v>217</v>
      </c>
      <c r="J161" s="261">
        <v>2</v>
      </c>
      <c r="K161" s="291" t="str">
        <f t="shared" si="20"/>
        <v>Deficiencia de control (diseño o ejecución)</v>
      </c>
      <c r="L161" s="292">
        <f t="shared" si="21"/>
        <v>20</v>
      </c>
      <c r="M161" s="292">
        <v>0.98965000000000003</v>
      </c>
      <c r="N161" s="241">
        <f t="shared" si="22"/>
        <v>20.989650000000001</v>
      </c>
      <c r="O161" s="247"/>
    </row>
    <row r="162" spans="2:15" ht="16.5">
      <c r="B162" s="296"/>
      <c r="C162" s="274"/>
      <c r="D162" s="253"/>
      <c r="E162" s="239"/>
      <c r="F162" s="262"/>
      <c r="G162" s="77">
        <v>2</v>
      </c>
      <c r="H162" s="124"/>
      <c r="I162" s="373"/>
      <c r="J162" s="262"/>
      <c r="K162" s="291"/>
      <c r="L162" s="292"/>
      <c r="M162" s="292"/>
      <c r="N162" s="241"/>
      <c r="O162" s="247"/>
    </row>
    <row r="163" spans="2:15" ht="21" customHeight="1">
      <c r="B163" s="296"/>
      <c r="C163" s="274"/>
      <c r="D163" s="253"/>
      <c r="E163" s="239"/>
      <c r="F163" s="262"/>
      <c r="G163" s="77">
        <v>3</v>
      </c>
      <c r="H163" s="117"/>
      <c r="I163" s="373"/>
      <c r="J163" s="262"/>
      <c r="K163" s="291"/>
      <c r="L163" s="292"/>
      <c r="M163" s="292"/>
      <c r="N163" s="241"/>
      <c r="O163" s="247"/>
    </row>
    <row r="164" spans="2:15" ht="1.5" customHeight="1" thickBot="1">
      <c r="B164" s="296"/>
      <c r="C164" s="274"/>
      <c r="D164" s="253"/>
      <c r="E164" s="239"/>
      <c r="F164" s="262"/>
      <c r="G164" s="77">
        <v>4</v>
      </c>
      <c r="H164" s="117"/>
      <c r="I164" s="373"/>
      <c r="J164" s="262"/>
      <c r="K164" s="291"/>
      <c r="L164" s="292"/>
      <c r="M164" s="292"/>
      <c r="N164" s="241"/>
      <c r="O164" s="247"/>
    </row>
    <row r="165" spans="2:15" ht="21" hidden="1" customHeight="1" thickBot="1">
      <c r="B165" s="296"/>
      <c r="C165" s="274"/>
      <c r="D165" s="253"/>
      <c r="E165" s="239"/>
      <c r="F165" s="262"/>
      <c r="G165" s="77">
        <v>5</v>
      </c>
      <c r="H165" s="117"/>
      <c r="I165" s="373"/>
      <c r="J165" s="262"/>
      <c r="K165" s="291"/>
      <c r="L165" s="292"/>
      <c r="M165" s="292"/>
      <c r="N165" s="241"/>
      <c r="O165" s="247"/>
    </row>
    <row r="166" spans="2:15" ht="21" hidden="1" customHeight="1" thickBot="1">
      <c r="B166" s="296"/>
      <c r="C166" s="274"/>
      <c r="D166" s="253"/>
      <c r="E166" s="239"/>
      <c r="F166" s="262"/>
      <c r="G166" s="77">
        <v>6</v>
      </c>
      <c r="H166" s="117"/>
      <c r="I166" s="373"/>
      <c r="J166" s="262"/>
      <c r="K166" s="291"/>
      <c r="L166" s="292"/>
      <c r="M166" s="292"/>
      <c r="N166" s="241"/>
      <c r="O166" s="247"/>
    </row>
    <row r="167" spans="2:15" ht="21" hidden="1" customHeight="1" thickBot="1">
      <c r="B167" s="296"/>
      <c r="C167" s="274"/>
      <c r="D167" s="253"/>
      <c r="E167" s="239"/>
      <c r="F167" s="262"/>
      <c r="G167" s="77">
        <v>7</v>
      </c>
      <c r="H167" s="117"/>
      <c r="I167" s="373"/>
      <c r="J167" s="262"/>
      <c r="K167" s="291"/>
      <c r="L167" s="292"/>
      <c r="M167" s="292"/>
      <c r="N167" s="241"/>
      <c r="O167" s="247"/>
    </row>
    <row r="168" spans="2:15" ht="21" hidden="1" customHeight="1" thickBot="1">
      <c r="B168" s="297"/>
      <c r="C168" s="275"/>
      <c r="D168" s="254"/>
      <c r="E168" s="240"/>
      <c r="F168" s="263"/>
      <c r="G168" s="81">
        <v>8</v>
      </c>
      <c r="H168" s="118"/>
      <c r="I168" s="374"/>
      <c r="J168" s="263"/>
      <c r="K168" s="291"/>
      <c r="L168" s="292"/>
      <c r="M168" s="292"/>
      <c r="N168" s="241"/>
      <c r="O168" s="247"/>
    </row>
    <row r="169" spans="2:15" ht="56.45" customHeight="1" thickBot="1">
      <c r="B169" s="295" t="str">
        <f>+LEFT(C169,3)</f>
        <v>4.6</v>
      </c>
      <c r="C169" s="249" t="s">
        <v>218</v>
      </c>
      <c r="D169" s="252" t="s">
        <v>199</v>
      </c>
      <c r="E169" s="236" t="s">
        <v>219</v>
      </c>
      <c r="F169" s="261">
        <v>3</v>
      </c>
      <c r="G169" s="82">
        <v>1</v>
      </c>
      <c r="H169" s="123" t="s">
        <v>220</v>
      </c>
      <c r="I169" s="267" t="s">
        <v>221</v>
      </c>
      <c r="J169" s="261">
        <v>3</v>
      </c>
      <c r="K169" s="270" t="str">
        <f t="shared" si="20"/>
        <v>Mantenimiento del control</v>
      </c>
      <c r="L169" s="292">
        <f t="shared" si="21"/>
        <v>60</v>
      </c>
      <c r="M169" s="292">
        <v>0.98965199999999998</v>
      </c>
      <c r="N169" s="242">
        <f t="shared" si="22"/>
        <v>60.989652</v>
      </c>
      <c r="O169" s="248"/>
    </row>
    <row r="170" spans="2:15" ht="82.5">
      <c r="B170" s="296"/>
      <c r="C170" s="250"/>
      <c r="D170" s="253"/>
      <c r="E170" s="239"/>
      <c r="F170" s="262"/>
      <c r="G170" s="77">
        <v>2</v>
      </c>
      <c r="H170" s="123" t="s">
        <v>205</v>
      </c>
      <c r="I170" s="268"/>
      <c r="J170" s="262"/>
      <c r="K170" s="271"/>
      <c r="L170" s="292"/>
      <c r="M170" s="292"/>
      <c r="N170" s="242"/>
      <c r="O170" s="248"/>
    </row>
    <row r="171" spans="2:15" ht="78.400000000000006" customHeight="1">
      <c r="B171" s="296"/>
      <c r="C171" s="250"/>
      <c r="D171" s="253"/>
      <c r="E171" s="239"/>
      <c r="F171" s="262"/>
      <c r="G171" s="77">
        <v>3</v>
      </c>
      <c r="H171" s="130"/>
      <c r="I171" s="268"/>
      <c r="J171" s="262"/>
      <c r="K171" s="271"/>
      <c r="L171" s="292"/>
      <c r="M171" s="292"/>
      <c r="N171" s="242"/>
      <c r="O171" s="248"/>
    </row>
    <row r="172" spans="2:15" ht="99" customHeight="1" thickBot="1">
      <c r="B172" s="296"/>
      <c r="C172" s="250"/>
      <c r="D172" s="253"/>
      <c r="E172" s="239"/>
      <c r="F172" s="262"/>
      <c r="G172" s="77">
        <v>4</v>
      </c>
      <c r="H172" s="117"/>
      <c r="I172" s="268"/>
      <c r="J172" s="262"/>
      <c r="K172" s="271"/>
      <c r="L172" s="292"/>
      <c r="M172" s="292"/>
      <c r="N172" s="242"/>
      <c r="O172" s="248"/>
    </row>
    <row r="173" spans="2:15" ht="21" hidden="1" customHeight="1" thickBot="1">
      <c r="B173" s="296"/>
      <c r="C173" s="250"/>
      <c r="D173" s="253"/>
      <c r="E173" s="239"/>
      <c r="F173" s="262"/>
      <c r="G173" s="77">
        <v>5</v>
      </c>
      <c r="H173" s="117"/>
      <c r="I173" s="268"/>
      <c r="J173" s="262"/>
      <c r="K173" s="271"/>
      <c r="L173" s="292"/>
      <c r="M173" s="292"/>
      <c r="N173" s="242"/>
      <c r="O173" s="248"/>
    </row>
    <row r="174" spans="2:15" ht="21" hidden="1" customHeight="1" thickBot="1">
      <c r="B174" s="296"/>
      <c r="C174" s="250"/>
      <c r="D174" s="253"/>
      <c r="E174" s="239"/>
      <c r="F174" s="262"/>
      <c r="G174" s="77">
        <v>6</v>
      </c>
      <c r="H174" s="117"/>
      <c r="I174" s="268"/>
      <c r="J174" s="262"/>
      <c r="K174" s="271"/>
      <c r="L174" s="292"/>
      <c r="M174" s="292"/>
      <c r="N174" s="242"/>
      <c r="O174" s="248"/>
    </row>
    <row r="175" spans="2:15" ht="21" hidden="1" customHeight="1" thickBot="1">
      <c r="B175" s="296"/>
      <c r="C175" s="250"/>
      <c r="D175" s="253"/>
      <c r="E175" s="239"/>
      <c r="F175" s="262"/>
      <c r="G175" s="77">
        <v>7</v>
      </c>
      <c r="H175" s="117"/>
      <c r="I175" s="268"/>
      <c r="J175" s="262"/>
      <c r="K175" s="271"/>
      <c r="L175" s="292"/>
      <c r="M175" s="292"/>
      <c r="N175" s="242"/>
      <c r="O175" s="248"/>
    </row>
    <row r="176" spans="2:15" ht="21" hidden="1" customHeight="1" thickBot="1">
      <c r="B176" s="297"/>
      <c r="C176" s="251"/>
      <c r="D176" s="254"/>
      <c r="E176" s="240"/>
      <c r="F176" s="263"/>
      <c r="G176" s="81">
        <v>8</v>
      </c>
      <c r="H176" s="118"/>
      <c r="I176" s="269"/>
      <c r="J176" s="263"/>
      <c r="K176" s="272"/>
      <c r="L176" s="292"/>
      <c r="M176" s="292"/>
      <c r="N176" s="242"/>
      <c r="O176" s="248"/>
    </row>
    <row r="177" spans="2:15" ht="66">
      <c r="B177" s="295" t="str">
        <f>+LEFT(C177,3)</f>
        <v>4.7</v>
      </c>
      <c r="C177" s="336" t="s">
        <v>222</v>
      </c>
      <c r="D177" s="252" t="s">
        <v>199</v>
      </c>
      <c r="E177" s="333" t="s">
        <v>223</v>
      </c>
      <c r="F177" s="258">
        <v>3</v>
      </c>
      <c r="G177" s="82">
        <v>1</v>
      </c>
      <c r="H177" s="123" t="s">
        <v>224</v>
      </c>
      <c r="I177" s="236" t="s">
        <v>225</v>
      </c>
      <c r="J177" s="261">
        <v>3</v>
      </c>
      <c r="K177" s="317" t="str">
        <f t="shared" si="20"/>
        <v>Mantenimiento del control</v>
      </c>
      <c r="L177" s="292">
        <f t="shared" si="21"/>
        <v>60</v>
      </c>
      <c r="M177" s="292">
        <v>1.8962300000000001</v>
      </c>
      <c r="N177" s="235">
        <f t="shared" si="22"/>
        <v>61.896230000000003</v>
      </c>
      <c r="O177" s="245"/>
    </row>
    <row r="178" spans="2:15" ht="102.4" customHeight="1">
      <c r="B178" s="296"/>
      <c r="C178" s="337"/>
      <c r="D178" s="253"/>
      <c r="E178" s="334"/>
      <c r="F178" s="259"/>
      <c r="G178" s="77">
        <v>2</v>
      </c>
      <c r="H178" s="135" t="s">
        <v>226</v>
      </c>
      <c r="I178" s="239"/>
      <c r="J178" s="262"/>
      <c r="K178" s="291"/>
      <c r="L178" s="292"/>
      <c r="M178" s="292"/>
      <c r="N178" s="235"/>
      <c r="O178" s="245"/>
    </row>
    <row r="179" spans="2:15" ht="21" hidden="1" customHeight="1">
      <c r="B179" s="296"/>
      <c r="C179" s="337"/>
      <c r="D179" s="253"/>
      <c r="E179" s="334"/>
      <c r="F179" s="259"/>
      <c r="G179" s="77">
        <v>3</v>
      </c>
      <c r="H179" s="132"/>
      <c r="I179" s="239"/>
      <c r="J179" s="262"/>
      <c r="K179" s="291"/>
      <c r="L179" s="292"/>
      <c r="M179" s="292"/>
      <c r="N179" s="235"/>
      <c r="O179" s="245"/>
    </row>
    <row r="180" spans="2:15" ht="21" hidden="1" customHeight="1">
      <c r="B180" s="296"/>
      <c r="C180" s="337"/>
      <c r="D180" s="253"/>
      <c r="E180" s="334"/>
      <c r="F180" s="259"/>
      <c r="G180" s="77">
        <v>4</v>
      </c>
      <c r="H180" s="117"/>
      <c r="I180" s="239"/>
      <c r="J180" s="262"/>
      <c r="K180" s="291"/>
      <c r="L180" s="292"/>
      <c r="M180" s="292"/>
      <c r="N180" s="235"/>
      <c r="O180" s="245"/>
    </row>
    <row r="181" spans="2:15" ht="1.5" customHeight="1" thickBot="1">
      <c r="B181" s="296"/>
      <c r="C181" s="337"/>
      <c r="D181" s="253"/>
      <c r="E181" s="334"/>
      <c r="F181" s="259"/>
      <c r="G181" s="77">
        <v>5</v>
      </c>
      <c r="H181" s="117"/>
      <c r="I181" s="239"/>
      <c r="J181" s="262"/>
      <c r="K181" s="291"/>
      <c r="L181" s="292"/>
      <c r="M181" s="292"/>
      <c r="N181" s="235"/>
      <c r="O181" s="245"/>
    </row>
    <row r="182" spans="2:15" ht="21" hidden="1" customHeight="1">
      <c r="B182" s="296"/>
      <c r="C182" s="337"/>
      <c r="D182" s="253"/>
      <c r="E182" s="334"/>
      <c r="F182" s="259"/>
      <c r="G182" s="77">
        <v>6</v>
      </c>
      <c r="H182" s="117"/>
      <c r="I182" s="239"/>
      <c r="J182" s="262"/>
      <c r="K182" s="291"/>
      <c r="L182" s="292"/>
      <c r="M182" s="292"/>
      <c r="N182" s="235"/>
      <c r="O182" s="245"/>
    </row>
    <row r="183" spans="2:15" ht="21" hidden="1" customHeight="1">
      <c r="B183" s="296"/>
      <c r="C183" s="337"/>
      <c r="D183" s="253"/>
      <c r="E183" s="334"/>
      <c r="F183" s="259"/>
      <c r="G183" s="77">
        <v>7</v>
      </c>
      <c r="H183" s="117"/>
      <c r="I183" s="239"/>
      <c r="J183" s="262"/>
      <c r="K183" s="291"/>
      <c r="L183" s="292"/>
      <c r="M183" s="292"/>
      <c r="N183" s="235"/>
      <c r="O183" s="245"/>
    </row>
    <row r="184" spans="2:15" ht="21" hidden="1" customHeight="1" thickBot="1">
      <c r="B184" s="297"/>
      <c r="C184" s="338"/>
      <c r="D184" s="254"/>
      <c r="E184" s="335"/>
      <c r="F184" s="260"/>
      <c r="G184" s="81">
        <v>8</v>
      </c>
      <c r="H184" s="118"/>
      <c r="I184" s="240"/>
      <c r="J184" s="263"/>
      <c r="K184" s="291"/>
      <c r="L184" s="292"/>
      <c r="M184" s="292"/>
      <c r="N184" s="235"/>
      <c r="O184" s="245"/>
    </row>
    <row r="185" spans="2:15" ht="34.5" customHeight="1">
      <c r="B185" s="298"/>
      <c r="C185" s="282" t="s">
        <v>227</v>
      </c>
      <c r="D185" s="284" t="s">
        <v>8</v>
      </c>
      <c r="E185" s="339" t="s">
        <v>114</v>
      </c>
      <c r="F185" s="287" t="s">
        <v>115</v>
      </c>
      <c r="G185" s="328" t="s">
        <v>116</v>
      </c>
      <c r="H185" s="329"/>
      <c r="I185" s="330"/>
      <c r="J185" s="287" t="s">
        <v>117</v>
      </c>
      <c r="K185" s="314" t="s">
        <v>161</v>
      </c>
      <c r="L185" s="293"/>
      <c r="M185" s="293"/>
      <c r="N185" s="243"/>
      <c r="O185" s="246"/>
    </row>
    <row r="186" spans="2:15" ht="57" customHeight="1">
      <c r="B186" s="299"/>
      <c r="C186" s="283"/>
      <c r="D186" s="285"/>
      <c r="E186" s="340"/>
      <c r="F186" s="287"/>
      <c r="G186" s="289" t="s">
        <v>13</v>
      </c>
      <c r="H186" s="343" t="s">
        <v>15</v>
      </c>
      <c r="I186" s="331" t="s">
        <v>17</v>
      </c>
      <c r="J186" s="287"/>
      <c r="K186" s="314"/>
      <c r="L186" s="293"/>
      <c r="M186" s="293"/>
      <c r="N186" s="243"/>
      <c r="O186" s="246"/>
    </row>
    <row r="187" spans="2:15" ht="24" customHeight="1" thickBot="1">
      <c r="B187" s="299"/>
      <c r="C187" s="283"/>
      <c r="D187" s="286"/>
      <c r="E187" s="332"/>
      <c r="F187" s="288"/>
      <c r="G187" s="290"/>
      <c r="H187" s="331"/>
      <c r="I187" s="332"/>
      <c r="J187" s="288"/>
      <c r="K187" s="315"/>
      <c r="L187" s="293"/>
      <c r="M187" s="293"/>
      <c r="N187" s="243"/>
      <c r="O187" s="246"/>
    </row>
    <row r="188" spans="2:15" ht="49.5">
      <c r="B188" s="295" t="str">
        <f>+LEFT(C188,3)</f>
        <v>5.1</v>
      </c>
      <c r="C188" s="273" t="s">
        <v>228</v>
      </c>
      <c r="D188" s="252" t="s">
        <v>229</v>
      </c>
      <c r="E188" s="344" t="s">
        <v>230</v>
      </c>
      <c r="F188" s="258">
        <v>3</v>
      </c>
      <c r="G188" s="82">
        <v>1</v>
      </c>
      <c r="H188" s="123" t="s">
        <v>178</v>
      </c>
      <c r="I188" s="236" t="s">
        <v>177</v>
      </c>
      <c r="J188" s="261">
        <v>2</v>
      </c>
      <c r="K188" s="291" t="str">
        <f t="shared" ref="K188:K228" si="23">+IF(OR(ISBLANK(F188),ISBLANK(J188)),"",IF(OR(AND(F188=1,J188=1),AND(F188=1,J188=2),AND(F188=1,J188=3)),"Deficiencia de control mayor (diseño y ejecución)",IF(OR(AND(F188=2,J188=2),AND(F188=3,J188=1),AND(F188=3,J188=2),AND(F188=2,J188=1)),"Deficiencia de control (diseño o ejecución)",IF(AND(F188=2,J188=3),"Oportunidad de mejora","Mantenimiento del control"))))</f>
        <v>Deficiencia de control (diseño o ejecución)</v>
      </c>
      <c r="L188" s="292">
        <f t="shared" ref="L188:L228" si="24">+IF(K188="",0,IF(K188="Deficiencia de control mayor (diseño y ejecución)",4,IF(K188="Deficiencia de control (diseño o ejecución)",20,IF(K188="Oportunidad de mejora",40,60))))</f>
        <v>20</v>
      </c>
      <c r="M188" s="292">
        <v>1.1896</v>
      </c>
      <c r="N188" s="235">
        <f t="shared" ref="N188:N228" si="25">+L188+M188</f>
        <v>21.189599999999999</v>
      </c>
      <c r="O188" s="245"/>
    </row>
    <row r="189" spans="2:15" ht="116.25" thickBot="1">
      <c r="B189" s="296"/>
      <c r="C189" s="274"/>
      <c r="D189" s="253"/>
      <c r="E189" s="345"/>
      <c r="F189" s="259"/>
      <c r="G189" s="77">
        <v>2</v>
      </c>
      <c r="H189" s="134" t="s">
        <v>194</v>
      </c>
      <c r="I189" s="239"/>
      <c r="J189" s="262"/>
      <c r="K189" s="291"/>
      <c r="L189" s="292"/>
      <c r="M189" s="292"/>
      <c r="N189" s="235"/>
      <c r="O189" s="245"/>
    </row>
    <row r="190" spans="2:15" ht="82.5">
      <c r="B190" s="296"/>
      <c r="C190" s="274"/>
      <c r="D190" s="253"/>
      <c r="E190" s="345"/>
      <c r="F190" s="259"/>
      <c r="G190" s="77">
        <v>3</v>
      </c>
      <c r="H190" s="123" t="s">
        <v>205</v>
      </c>
      <c r="I190" s="239"/>
      <c r="J190" s="262"/>
      <c r="K190" s="291"/>
      <c r="L190" s="292"/>
      <c r="M190" s="292"/>
      <c r="N190" s="235"/>
      <c r="O190" s="245"/>
    </row>
    <row r="191" spans="2:15" ht="16.5">
      <c r="B191" s="296"/>
      <c r="C191" s="274"/>
      <c r="D191" s="253"/>
      <c r="E191" s="345"/>
      <c r="F191" s="259"/>
      <c r="G191" s="77">
        <v>4</v>
      </c>
      <c r="H191" s="117"/>
      <c r="I191" s="239"/>
      <c r="J191" s="262"/>
      <c r="K191" s="291"/>
      <c r="L191" s="292"/>
      <c r="M191" s="292"/>
      <c r="N191" s="235"/>
      <c r="O191" s="245"/>
    </row>
    <row r="192" spans="2:15" ht="15" customHeight="1">
      <c r="B192" s="296"/>
      <c r="C192" s="274"/>
      <c r="D192" s="253"/>
      <c r="E192" s="345"/>
      <c r="F192" s="259"/>
      <c r="G192" s="77">
        <v>5</v>
      </c>
      <c r="H192" s="117"/>
      <c r="I192" s="239"/>
      <c r="J192" s="262"/>
      <c r="K192" s="291"/>
      <c r="L192" s="292"/>
      <c r="M192" s="292"/>
      <c r="N192" s="235"/>
      <c r="O192" s="245"/>
    </row>
    <row r="193" spans="2:15" ht="13.5" customHeight="1">
      <c r="B193" s="296"/>
      <c r="C193" s="274"/>
      <c r="D193" s="253"/>
      <c r="E193" s="345"/>
      <c r="F193" s="259"/>
      <c r="G193" s="77">
        <v>6</v>
      </c>
      <c r="H193" s="117"/>
      <c r="I193" s="239"/>
      <c r="J193" s="262"/>
      <c r="K193" s="291"/>
      <c r="L193" s="292"/>
      <c r="M193" s="292"/>
      <c r="N193" s="235"/>
      <c r="O193" s="245"/>
    </row>
    <row r="194" spans="2:15" ht="45" customHeight="1" thickBot="1">
      <c r="B194" s="296"/>
      <c r="C194" s="274"/>
      <c r="D194" s="253"/>
      <c r="E194" s="345"/>
      <c r="F194" s="259"/>
      <c r="G194" s="77">
        <v>7</v>
      </c>
      <c r="H194" s="117"/>
      <c r="I194" s="239"/>
      <c r="J194" s="262"/>
      <c r="K194" s="291"/>
      <c r="L194" s="292"/>
      <c r="M194" s="292"/>
      <c r="N194" s="235"/>
      <c r="O194" s="245"/>
    </row>
    <row r="195" spans="2:15" ht="66" hidden="1" customHeight="1" thickBot="1">
      <c r="B195" s="297"/>
      <c r="C195" s="275"/>
      <c r="D195" s="254"/>
      <c r="E195" s="346"/>
      <c r="F195" s="260"/>
      <c r="G195" s="81">
        <v>8</v>
      </c>
      <c r="H195" s="118"/>
      <c r="I195" s="240"/>
      <c r="J195" s="263"/>
      <c r="K195" s="291"/>
      <c r="L195" s="292"/>
      <c r="M195" s="292"/>
      <c r="N195" s="235"/>
      <c r="O195" s="245"/>
    </row>
    <row r="196" spans="2:15" ht="66">
      <c r="B196" s="295" t="str">
        <f>+LEFT(C196,3)</f>
        <v>5.2</v>
      </c>
      <c r="C196" s="273" t="s">
        <v>231</v>
      </c>
      <c r="D196" s="252" t="s">
        <v>232</v>
      </c>
      <c r="E196" s="236" t="s">
        <v>233</v>
      </c>
      <c r="F196" s="261">
        <v>3</v>
      </c>
      <c r="G196" s="82">
        <v>1</v>
      </c>
      <c r="H196" s="123" t="s">
        <v>234</v>
      </c>
      <c r="I196" s="236" t="s">
        <v>235</v>
      </c>
      <c r="J196" s="261">
        <v>3</v>
      </c>
      <c r="K196" s="291" t="str">
        <f t="shared" si="23"/>
        <v>Mantenimiento del control</v>
      </c>
      <c r="L196" s="292">
        <f t="shared" si="24"/>
        <v>60</v>
      </c>
      <c r="M196" s="292">
        <v>1.28965</v>
      </c>
      <c r="N196" s="235">
        <f t="shared" si="25"/>
        <v>61.289650000000002</v>
      </c>
      <c r="O196" s="245"/>
    </row>
    <row r="197" spans="2:15" ht="99">
      <c r="B197" s="296"/>
      <c r="C197" s="274"/>
      <c r="D197" s="253"/>
      <c r="E197" s="239"/>
      <c r="F197" s="262"/>
      <c r="G197" s="77">
        <v>2</v>
      </c>
      <c r="H197" s="124" t="s">
        <v>236</v>
      </c>
      <c r="I197" s="239"/>
      <c r="J197" s="262"/>
      <c r="K197" s="291"/>
      <c r="L197" s="292"/>
      <c r="M197" s="292"/>
      <c r="N197" s="235"/>
      <c r="O197" s="245"/>
    </row>
    <row r="198" spans="2:15" ht="16.5">
      <c r="B198" s="296"/>
      <c r="C198" s="274"/>
      <c r="D198" s="253"/>
      <c r="E198" s="239"/>
      <c r="F198" s="262"/>
      <c r="G198" s="77">
        <v>3</v>
      </c>
      <c r="H198" s="117"/>
      <c r="I198" s="239"/>
      <c r="J198" s="262"/>
      <c r="K198" s="291"/>
      <c r="L198" s="292"/>
      <c r="M198" s="292"/>
      <c r="N198" s="235"/>
      <c r="O198" s="245"/>
    </row>
    <row r="199" spans="2:15" ht="16.5">
      <c r="B199" s="296"/>
      <c r="C199" s="274"/>
      <c r="D199" s="253"/>
      <c r="E199" s="239"/>
      <c r="F199" s="262"/>
      <c r="G199" s="77">
        <v>4</v>
      </c>
      <c r="H199" s="117"/>
      <c r="I199" s="239"/>
      <c r="J199" s="262"/>
      <c r="K199" s="291"/>
      <c r="L199" s="292"/>
      <c r="M199" s="292"/>
      <c r="N199" s="235"/>
      <c r="O199" s="245"/>
    </row>
    <row r="200" spans="2:15" ht="11.65" customHeight="1" thickBot="1">
      <c r="B200" s="296"/>
      <c r="C200" s="274"/>
      <c r="D200" s="253"/>
      <c r="E200" s="239"/>
      <c r="F200" s="262"/>
      <c r="G200" s="77">
        <v>5</v>
      </c>
      <c r="H200" s="117"/>
      <c r="I200" s="239"/>
      <c r="J200" s="262"/>
      <c r="K200" s="291"/>
      <c r="L200" s="292"/>
      <c r="M200" s="292"/>
      <c r="N200" s="235"/>
      <c r="O200" s="245"/>
    </row>
    <row r="201" spans="2:15" ht="13.9" hidden="1" customHeight="1">
      <c r="B201" s="296"/>
      <c r="C201" s="274"/>
      <c r="D201" s="253"/>
      <c r="E201" s="239"/>
      <c r="F201" s="262"/>
      <c r="G201" s="77">
        <v>6</v>
      </c>
      <c r="H201" s="117"/>
      <c r="I201" s="239"/>
      <c r="J201" s="262"/>
      <c r="K201" s="291"/>
      <c r="L201" s="292"/>
      <c r="M201" s="292"/>
      <c r="N201" s="235"/>
      <c r="O201" s="245"/>
    </row>
    <row r="202" spans="2:15" ht="13.9" hidden="1" customHeight="1">
      <c r="B202" s="296"/>
      <c r="C202" s="274"/>
      <c r="D202" s="253"/>
      <c r="E202" s="239"/>
      <c r="F202" s="262"/>
      <c r="G202" s="77">
        <v>7</v>
      </c>
      <c r="H202" s="117"/>
      <c r="I202" s="239"/>
      <c r="J202" s="262"/>
      <c r="K202" s="291"/>
      <c r="L202" s="292"/>
      <c r="M202" s="292"/>
      <c r="N202" s="235"/>
      <c r="O202" s="245"/>
    </row>
    <row r="203" spans="2:15" ht="14.65" hidden="1" customHeight="1" thickBot="1">
      <c r="B203" s="297"/>
      <c r="C203" s="275"/>
      <c r="D203" s="254"/>
      <c r="E203" s="240"/>
      <c r="F203" s="263"/>
      <c r="G203" s="81">
        <v>8</v>
      </c>
      <c r="H203" s="118"/>
      <c r="I203" s="240"/>
      <c r="J203" s="263"/>
      <c r="K203" s="291"/>
      <c r="L203" s="292"/>
      <c r="M203" s="292"/>
      <c r="N203" s="235"/>
      <c r="O203" s="245"/>
    </row>
    <row r="204" spans="2:15" ht="55.9" customHeight="1">
      <c r="B204" s="295" t="str">
        <f>+LEFT(C204,3)</f>
        <v>5.3</v>
      </c>
      <c r="C204" s="273" t="s">
        <v>237</v>
      </c>
      <c r="D204" s="252" t="s">
        <v>238</v>
      </c>
      <c r="E204" s="236" t="s">
        <v>239</v>
      </c>
      <c r="F204" s="261">
        <v>3</v>
      </c>
      <c r="G204" s="82">
        <v>1</v>
      </c>
      <c r="H204" s="123" t="s">
        <v>240</v>
      </c>
      <c r="I204" s="236" t="s">
        <v>241</v>
      </c>
      <c r="J204" s="261">
        <v>3</v>
      </c>
      <c r="K204" s="291" t="str">
        <f t="shared" si="23"/>
        <v>Mantenimiento del control</v>
      </c>
      <c r="L204" s="292">
        <f t="shared" si="24"/>
        <v>60</v>
      </c>
      <c r="M204" s="292">
        <v>1.3896299999999999</v>
      </c>
      <c r="N204" s="235">
        <f t="shared" si="25"/>
        <v>61.389629999999997</v>
      </c>
      <c r="O204" s="245"/>
    </row>
    <row r="205" spans="2:15" ht="66">
      <c r="B205" s="296"/>
      <c r="C205" s="274"/>
      <c r="D205" s="253"/>
      <c r="E205" s="237"/>
      <c r="F205" s="262"/>
      <c r="G205" s="77">
        <v>2</v>
      </c>
      <c r="H205" s="135" t="s">
        <v>242</v>
      </c>
      <c r="I205" s="239"/>
      <c r="J205" s="262"/>
      <c r="K205" s="291"/>
      <c r="L205" s="292"/>
      <c r="M205" s="292"/>
      <c r="N205" s="235"/>
      <c r="O205" s="245"/>
    </row>
    <row r="206" spans="2:15" ht="17.45" customHeight="1">
      <c r="B206" s="296"/>
      <c r="C206" s="274"/>
      <c r="D206" s="253"/>
      <c r="E206" s="237"/>
      <c r="F206" s="262"/>
      <c r="G206" s="77">
        <v>3</v>
      </c>
      <c r="H206" s="131"/>
      <c r="I206" s="239"/>
      <c r="J206" s="262"/>
      <c r="K206" s="291"/>
      <c r="L206" s="292"/>
      <c r="M206" s="292"/>
      <c r="N206" s="235"/>
      <c r="O206" s="245"/>
    </row>
    <row r="207" spans="2:15" ht="17.45" customHeight="1">
      <c r="B207" s="296"/>
      <c r="C207" s="274"/>
      <c r="D207" s="253"/>
      <c r="E207" s="237"/>
      <c r="F207" s="262"/>
      <c r="G207" s="77">
        <v>4</v>
      </c>
      <c r="H207" s="117"/>
      <c r="I207" s="239"/>
      <c r="J207" s="262"/>
      <c r="K207" s="291"/>
      <c r="L207" s="292"/>
      <c r="M207" s="292"/>
      <c r="N207" s="235"/>
      <c r="O207" s="245"/>
    </row>
    <row r="208" spans="2:15" ht="17.45" customHeight="1">
      <c r="B208" s="296"/>
      <c r="C208" s="274"/>
      <c r="D208" s="253"/>
      <c r="E208" s="237"/>
      <c r="F208" s="262"/>
      <c r="G208" s="77">
        <v>5</v>
      </c>
      <c r="H208" s="117"/>
      <c r="I208" s="239"/>
      <c r="J208" s="262"/>
      <c r="K208" s="291"/>
      <c r="L208" s="292"/>
      <c r="M208" s="292"/>
      <c r="N208" s="235"/>
      <c r="O208" s="245"/>
    </row>
    <row r="209" spans="2:15" ht="17.45" customHeight="1">
      <c r="B209" s="296"/>
      <c r="C209" s="274"/>
      <c r="D209" s="253"/>
      <c r="E209" s="237"/>
      <c r="F209" s="262"/>
      <c r="G209" s="77">
        <v>6</v>
      </c>
      <c r="H209" s="117"/>
      <c r="I209" s="239"/>
      <c r="J209" s="262"/>
      <c r="K209" s="291"/>
      <c r="L209" s="292"/>
      <c r="M209" s="292"/>
      <c r="N209" s="235"/>
      <c r="O209" s="245"/>
    </row>
    <row r="210" spans="2:15" ht="17.45" customHeight="1">
      <c r="B210" s="296"/>
      <c r="C210" s="274"/>
      <c r="D210" s="253"/>
      <c r="E210" s="237"/>
      <c r="F210" s="262"/>
      <c r="G210" s="77">
        <v>7</v>
      </c>
      <c r="H210" s="117"/>
      <c r="I210" s="239"/>
      <c r="J210" s="262"/>
      <c r="K210" s="291"/>
      <c r="L210" s="292"/>
      <c r="M210" s="292"/>
      <c r="N210" s="235"/>
      <c r="O210" s="245"/>
    </row>
    <row r="211" spans="2:15" ht="17.45" customHeight="1" thickBot="1">
      <c r="B211" s="297"/>
      <c r="C211" s="275"/>
      <c r="D211" s="254"/>
      <c r="E211" s="238"/>
      <c r="F211" s="263"/>
      <c r="G211" s="81">
        <v>8</v>
      </c>
      <c r="H211" s="118"/>
      <c r="I211" s="240"/>
      <c r="J211" s="263"/>
      <c r="K211" s="291"/>
      <c r="L211" s="292"/>
      <c r="M211" s="292"/>
      <c r="N211" s="235"/>
      <c r="O211" s="245"/>
    </row>
    <row r="212" spans="2:15" ht="36.6" customHeight="1">
      <c r="B212" s="295" t="str">
        <f>+LEFT(C212,3)</f>
        <v>5.4</v>
      </c>
      <c r="C212" s="273" t="s">
        <v>243</v>
      </c>
      <c r="D212" s="252" t="s">
        <v>244</v>
      </c>
      <c r="E212" s="333" t="s">
        <v>245</v>
      </c>
      <c r="F212" s="258">
        <v>3</v>
      </c>
      <c r="G212" s="82">
        <v>1</v>
      </c>
      <c r="H212" s="123" t="s">
        <v>240</v>
      </c>
      <c r="I212" s="236" t="s">
        <v>246</v>
      </c>
      <c r="J212" s="261">
        <v>3</v>
      </c>
      <c r="K212" s="291" t="str">
        <f t="shared" si="23"/>
        <v>Mantenimiento del control</v>
      </c>
      <c r="L212" s="292">
        <f t="shared" si="24"/>
        <v>60</v>
      </c>
      <c r="M212" s="292">
        <v>1.48963</v>
      </c>
      <c r="N212" s="235">
        <f t="shared" si="25"/>
        <v>61.489629999999998</v>
      </c>
      <c r="O212" s="245"/>
    </row>
    <row r="213" spans="2:15" ht="99" customHeight="1">
      <c r="B213" s="296"/>
      <c r="C213" s="274"/>
      <c r="D213" s="253"/>
      <c r="E213" s="334"/>
      <c r="F213" s="259"/>
      <c r="G213" s="77">
        <v>2</v>
      </c>
      <c r="H213" s="124" t="s">
        <v>247</v>
      </c>
      <c r="I213" s="239"/>
      <c r="J213" s="262"/>
      <c r="K213" s="291"/>
      <c r="L213" s="292"/>
      <c r="M213" s="292"/>
      <c r="N213" s="235"/>
      <c r="O213" s="245"/>
    </row>
    <row r="214" spans="2:15" ht="108" customHeight="1" thickBot="1">
      <c r="B214" s="296"/>
      <c r="C214" s="274"/>
      <c r="D214" s="253"/>
      <c r="E214" s="334"/>
      <c r="F214" s="259"/>
      <c r="G214" s="77">
        <v>3</v>
      </c>
      <c r="H214" s="124" t="s">
        <v>248</v>
      </c>
      <c r="I214" s="239"/>
      <c r="J214" s="262"/>
      <c r="K214" s="291"/>
      <c r="L214" s="292"/>
      <c r="M214" s="292"/>
      <c r="N214" s="235"/>
      <c r="O214" s="245"/>
    </row>
    <row r="215" spans="2:15" ht="19.149999999999999" hidden="1" customHeight="1" thickBot="1">
      <c r="B215" s="296"/>
      <c r="C215" s="274"/>
      <c r="D215" s="253"/>
      <c r="E215" s="334"/>
      <c r="F215" s="259"/>
      <c r="G215" s="77">
        <v>4</v>
      </c>
      <c r="H215" s="117"/>
      <c r="I215" s="239"/>
      <c r="J215" s="262"/>
      <c r="K215" s="291"/>
      <c r="L215" s="292"/>
      <c r="M215" s="292"/>
      <c r="N215" s="235"/>
      <c r="O215" s="245"/>
    </row>
    <row r="216" spans="2:15" ht="19.899999999999999" hidden="1" customHeight="1" thickBot="1">
      <c r="B216" s="296"/>
      <c r="C216" s="274"/>
      <c r="D216" s="253"/>
      <c r="E216" s="334"/>
      <c r="F216" s="259"/>
      <c r="G216" s="77">
        <v>5</v>
      </c>
      <c r="H216" s="117"/>
      <c r="I216" s="239"/>
      <c r="J216" s="262"/>
      <c r="K216" s="291"/>
      <c r="L216" s="292"/>
      <c r="M216" s="292"/>
      <c r="N216" s="235"/>
      <c r="O216" s="245"/>
    </row>
    <row r="217" spans="2:15" ht="19.899999999999999" hidden="1" customHeight="1" thickBot="1">
      <c r="B217" s="296"/>
      <c r="C217" s="274"/>
      <c r="D217" s="253"/>
      <c r="E217" s="334"/>
      <c r="F217" s="259"/>
      <c r="G217" s="77">
        <v>6</v>
      </c>
      <c r="H217" s="117"/>
      <c r="I217" s="239"/>
      <c r="J217" s="262"/>
      <c r="K217" s="291"/>
      <c r="L217" s="292"/>
      <c r="M217" s="292"/>
      <c r="N217" s="235"/>
      <c r="O217" s="245"/>
    </row>
    <row r="218" spans="2:15" ht="37.5" hidden="1" customHeight="1" thickBot="1">
      <c r="B218" s="296"/>
      <c r="C218" s="274"/>
      <c r="D218" s="253"/>
      <c r="E218" s="334"/>
      <c r="F218" s="259"/>
      <c r="G218" s="77">
        <v>7</v>
      </c>
      <c r="H218" s="117"/>
      <c r="I218" s="239"/>
      <c r="J218" s="262"/>
      <c r="K218" s="291"/>
      <c r="L218" s="292"/>
      <c r="M218" s="292"/>
      <c r="N218" s="235"/>
      <c r="O218" s="245"/>
    </row>
    <row r="219" spans="2:15" ht="22.9" hidden="1" customHeight="1" thickBot="1">
      <c r="B219" s="297"/>
      <c r="C219" s="275"/>
      <c r="D219" s="254"/>
      <c r="E219" s="335"/>
      <c r="F219" s="260"/>
      <c r="G219" s="81">
        <v>8</v>
      </c>
      <c r="H219" s="118"/>
      <c r="I219" s="240"/>
      <c r="J219" s="263"/>
      <c r="K219" s="291"/>
      <c r="L219" s="292"/>
      <c r="M219" s="292"/>
      <c r="N219" s="235"/>
      <c r="O219" s="245"/>
    </row>
    <row r="220" spans="2:15" ht="33.4" customHeight="1">
      <c r="B220" s="295" t="str">
        <f>+LEFT(C220,3)</f>
        <v>5.5</v>
      </c>
      <c r="C220" s="273" t="s">
        <v>249</v>
      </c>
      <c r="D220" s="252" t="s">
        <v>250</v>
      </c>
      <c r="E220" s="236" t="s">
        <v>251</v>
      </c>
      <c r="F220" s="261">
        <v>3</v>
      </c>
      <c r="G220" s="82">
        <v>1</v>
      </c>
      <c r="H220" s="123" t="s">
        <v>240</v>
      </c>
      <c r="I220" s="236" t="s">
        <v>252</v>
      </c>
      <c r="J220" s="261">
        <v>3</v>
      </c>
      <c r="K220" s="291" t="str">
        <f t="shared" si="23"/>
        <v>Mantenimiento del control</v>
      </c>
      <c r="L220" s="292">
        <f t="shared" si="24"/>
        <v>60</v>
      </c>
      <c r="M220" s="292">
        <v>1.58965</v>
      </c>
      <c r="N220" s="235">
        <f t="shared" si="25"/>
        <v>61.589649999999999</v>
      </c>
      <c r="O220" s="245"/>
    </row>
    <row r="221" spans="2:15" ht="115.5">
      <c r="B221" s="296"/>
      <c r="C221" s="274"/>
      <c r="D221" s="253"/>
      <c r="E221" s="239"/>
      <c r="F221" s="262"/>
      <c r="G221" s="77">
        <v>2</v>
      </c>
      <c r="H221" s="124" t="s">
        <v>253</v>
      </c>
      <c r="I221" s="239"/>
      <c r="J221" s="262"/>
      <c r="K221" s="291"/>
      <c r="L221" s="292"/>
      <c r="M221" s="292"/>
      <c r="N221" s="235"/>
      <c r="O221" s="245"/>
    </row>
    <row r="222" spans="2:15" ht="19.5" customHeight="1">
      <c r="B222" s="296"/>
      <c r="C222" s="274"/>
      <c r="D222" s="253"/>
      <c r="E222" s="239"/>
      <c r="F222" s="262"/>
      <c r="G222" s="77">
        <v>3</v>
      </c>
      <c r="H222" s="117"/>
      <c r="I222" s="239"/>
      <c r="J222" s="262"/>
      <c r="K222" s="291"/>
      <c r="L222" s="292"/>
      <c r="M222" s="292"/>
      <c r="N222" s="235"/>
      <c r="O222" s="245"/>
    </row>
    <row r="223" spans="2:15" ht="19.899999999999999" hidden="1" customHeight="1">
      <c r="B223" s="296"/>
      <c r="C223" s="274"/>
      <c r="D223" s="253"/>
      <c r="E223" s="239"/>
      <c r="F223" s="262"/>
      <c r="G223" s="77">
        <v>4</v>
      </c>
      <c r="H223" s="117"/>
      <c r="I223" s="239"/>
      <c r="J223" s="262"/>
      <c r="K223" s="291"/>
      <c r="L223" s="292"/>
      <c r="M223" s="292"/>
      <c r="N223" s="235"/>
      <c r="O223" s="245"/>
    </row>
    <row r="224" spans="2:15" ht="19.899999999999999" hidden="1" customHeight="1">
      <c r="B224" s="296"/>
      <c r="C224" s="274"/>
      <c r="D224" s="253"/>
      <c r="E224" s="239"/>
      <c r="F224" s="262"/>
      <c r="G224" s="77">
        <v>5</v>
      </c>
      <c r="H224" s="117"/>
      <c r="I224" s="239"/>
      <c r="J224" s="262"/>
      <c r="K224" s="291"/>
      <c r="L224" s="292"/>
      <c r="M224" s="292"/>
      <c r="N224" s="235"/>
      <c r="O224" s="245"/>
    </row>
    <row r="225" spans="2:15" ht="19.899999999999999" hidden="1" customHeight="1">
      <c r="B225" s="296"/>
      <c r="C225" s="274"/>
      <c r="D225" s="253"/>
      <c r="E225" s="239"/>
      <c r="F225" s="262"/>
      <c r="G225" s="77">
        <v>6</v>
      </c>
      <c r="H225" s="117"/>
      <c r="I225" s="239"/>
      <c r="J225" s="262"/>
      <c r="K225" s="291"/>
      <c r="L225" s="292"/>
      <c r="M225" s="292"/>
      <c r="N225" s="235"/>
      <c r="O225" s="245"/>
    </row>
    <row r="226" spans="2:15" ht="19.899999999999999" hidden="1" customHeight="1">
      <c r="B226" s="296"/>
      <c r="C226" s="274"/>
      <c r="D226" s="253"/>
      <c r="E226" s="239"/>
      <c r="F226" s="262"/>
      <c r="G226" s="77">
        <v>7</v>
      </c>
      <c r="H226" s="117"/>
      <c r="I226" s="239"/>
      <c r="J226" s="262"/>
      <c r="K226" s="291"/>
      <c r="L226" s="292"/>
      <c r="M226" s="292"/>
      <c r="N226" s="235"/>
      <c r="O226" s="245"/>
    </row>
    <row r="227" spans="2:15" ht="1.1499999999999999" customHeight="1" thickBot="1">
      <c r="B227" s="297"/>
      <c r="C227" s="275"/>
      <c r="D227" s="254"/>
      <c r="E227" s="240"/>
      <c r="F227" s="263"/>
      <c r="G227" s="81">
        <v>8</v>
      </c>
      <c r="H227" s="118"/>
      <c r="I227" s="240"/>
      <c r="J227" s="263"/>
      <c r="K227" s="291"/>
      <c r="L227" s="292"/>
      <c r="M227" s="292"/>
      <c r="N227" s="235"/>
      <c r="O227" s="245"/>
    </row>
    <row r="228" spans="2:15" ht="34.9" customHeight="1">
      <c r="B228" s="295" t="str">
        <f>+LEFT(C228,3)</f>
        <v>5.6</v>
      </c>
      <c r="C228" s="273" t="s">
        <v>254</v>
      </c>
      <c r="D228" s="252" t="s">
        <v>250</v>
      </c>
      <c r="E228" s="333" t="s">
        <v>255</v>
      </c>
      <c r="F228" s="258">
        <v>3</v>
      </c>
      <c r="G228" s="82">
        <v>1</v>
      </c>
      <c r="H228" s="123" t="s">
        <v>240</v>
      </c>
      <c r="I228" s="236" t="s">
        <v>256</v>
      </c>
      <c r="J228" s="261">
        <v>3</v>
      </c>
      <c r="K228" s="291" t="str">
        <f t="shared" si="23"/>
        <v>Mantenimiento del control</v>
      </c>
      <c r="L228" s="292">
        <f t="shared" si="24"/>
        <v>60</v>
      </c>
      <c r="M228" s="292">
        <v>1.6896530000000001</v>
      </c>
      <c r="N228" s="235">
        <f t="shared" si="25"/>
        <v>61.689653</v>
      </c>
      <c r="O228" s="245"/>
    </row>
    <row r="229" spans="2:15" ht="86.65" customHeight="1">
      <c r="B229" s="296"/>
      <c r="C229" s="274"/>
      <c r="D229" s="253"/>
      <c r="E229" s="341"/>
      <c r="F229" s="259"/>
      <c r="G229" s="77">
        <v>2</v>
      </c>
      <c r="H229" s="124" t="s">
        <v>257</v>
      </c>
      <c r="I229" s="239"/>
      <c r="J229" s="262"/>
      <c r="K229" s="291"/>
      <c r="L229" s="292"/>
      <c r="M229" s="292"/>
      <c r="N229" s="235"/>
      <c r="O229" s="245"/>
    </row>
    <row r="230" spans="2:15" ht="81" customHeight="1">
      <c r="B230" s="296"/>
      <c r="C230" s="274"/>
      <c r="D230" s="253"/>
      <c r="E230" s="341"/>
      <c r="F230" s="259"/>
      <c r="G230" s="77">
        <v>3</v>
      </c>
      <c r="H230" s="117"/>
      <c r="I230" s="239"/>
      <c r="J230" s="262"/>
      <c r="K230" s="291"/>
      <c r="L230" s="292"/>
      <c r="M230" s="292"/>
      <c r="N230" s="235"/>
      <c r="O230" s="245"/>
    </row>
    <row r="231" spans="2:15" ht="19.899999999999999" hidden="1" customHeight="1">
      <c r="B231" s="296"/>
      <c r="C231" s="274"/>
      <c r="D231" s="253"/>
      <c r="E231" s="341"/>
      <c r="F231" s="259"/>
      <c r="G231" s="77">
        <v>4</v>
      </c>
      <c r="H231" s="117"/>
      <c r="I231" s="239"/>
      <c r="J231" s="262"/>
      <c r="K231" s="291"/>
      <c r="L231" s="292"/>
      <c r="M231" s="292"/>
      <c r="N231" s="235"/>
      <c r="O231" s="245"/>
    </row>
    <row r="232" spans="2:15" ht="19.899999999999999" hidden="1" customHeight="1">
      <c r="B232" s="296"/>
      <c r="C232" s="274"/>
      <c r="D232" s="253"/>
      <c r="E232" s="341"/>
      <c r="F232" s="259"/>
      <c r="G232" s="77">
        <v>5</v>
      </c>
      <c r="H232" s="117"/>
      <c r="I232" s="239"/>
      <c r="J232" s="262"/>
      <c r="K232" s="291"/>
      <c r="L232" s="292"/>
      <c r="M232" s="292"/>
      <c r="N232" s="235"/>
      <c r="O232" s="245"/>
    </row>
    <row r="233" spans="2:15" ht="19.899999999999999" hidden="1" customHeight="1">
      <c r="B233" s="296"/>
      <c r="C233" s="274"/>
      <c r="D233" s="253"/>
      <c r="E233" s="341"/>
      <c r="F233" s="259"/>
      <c r="G233" s="77">
        <v>6</v>
      </c>
      <c r="H233" s="117"/>
      <c r="I233" s="239"/>
      <c r="J233" s="262"/>
      <c r="K233" s="291"/>
      <c r="L233" s="292"/>
      <c r="M233" s="292"/>
      <c r="N233" s="235"/>
      <c r="O233" s="245"/>
    </row>
    <row r="234" spans="2:15" ht="19.899999999999999" hidden="1" customHeight="1">
      <c r="B234" s="296"/>
      <c r="C234" s="274"/>
      <c r="D234" s="253"/>
      <c r="E234" s="341"/>
      <c r="F234" s="259"/>
      <c r="G234" s="77">
        <v>7</v>
      </c>
      <c r="H234" s="117"/>
      <c r="I234" s="239"/>
      <c r="J234" s="262"/>
      <c r="K234" s="291"/>
      <c r="L234" s="292"/>
      <c r="M234" s="292"/>
      <c r="N234" s="235"/>
      <c r="O234" s="245"/>
    </row>
    <row r="235" spans="2:15" ht="2.65" customHeight="1" thickBot="1">
      <c r="B235" s="297"/>
      <c r="C235" s="275"/>
      <c r="D235" s="254"/>
      <c r="E235" s="342"/>
      <c r="F235" s="260"/>
      <c r="G235" s="81">
        <v>8</v>
      </c>
      <c r="H235" s="118"/>
      <c r="I235" s="240"/>
      <c r="J235" s="263"/>
      <c r="K235" s="291"/>
      <c r="L235" s="292"/>
      <c r="M235" s="292"/>
      <c r="N235" s="235"/>
      <c r="O235" s="245"/>
    </row>
    <row r="236" spans="2:15" ht="14.65" customHeight="1"/>
    <row r="237" spans="2:15" ht="12" customHeight="1"/>
    <row r="238" spans="2:15" ht="22.5" customHeight="1"/>
    <row r="239" spans="2:15" ht="22.5" customHeight="1"/>
    <row r="240" spans="2:15"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22.5" customHeight="1"/>
    <row r="306" ht="22.5" customHeight="1"/>
    <row r="307" ht="22.5" customHeight="1"/>
    <row r="308" ht="22.5" customHeight="1"/>
    <row r="309" ht="22.5" customHeight="1"/>
    <row r="310" ht="22.5" customHeight="1"/>
    <row r="311" ht="22.5" customHeight="1"/>
    <row r="312" ht="22.5" customHeight="1"/>
    <row r="313" ht="22.5" customHeight="1"/>
    <row r="314" ht="22.5" customHeight="1"/>
    <row r="315" ht="22.5" customHeight="1"/>
    <row r="316" ht="22.5" customHeight="1"/>
    <row r="317" ht="22.5" customHeight="1"/>
    <row r="318" ht="22.5" customHeight="1"/>
    <row r="319" ht="22.5" customHeight="1"/>
    <row r="320" ht="22.5" customHeight="1"/>
    <row r="321" ht="22.5" customHeight="1"/>
    <row r="322" ht="22.5" customHeight="1"/>
    <row r="323" ht="22.5" customHeight="1"/>
    <row r="324" ht="22.5" customHeight="1"/>
    <row r="325" ht="22.5" customHeight="1"/>
    <row r="326" ht="22.5" customHeight="1"/>
    <row r="327" ht="22.5" customHeight="1"/>
    <row r="328" ht="22.5" customHeight="1"/>
    <row r="329" ht="22.5" customHeight="1"/>
    <row r="330" ht="22.5" customHeight="1"/>
    <row r="331" ht="22.5" customHeight="1"/>
    <row r="332" ht="22.5" customHeight="1"/>
    <row r="333" ht="22.5" customHeight="1"/>
    <row r="334" ht="22.5" customHeight="1"/>
    <row r="335" ht="22.5" customHeight="1"/>
    <row r="336" ht="22.5" customHeight="1"/>
    <row r="337" ht="22.5" customHeight="1"/>
    <row r="338" ht="22.5" customHeight="1"/>
    <row r="339" ht="22.5" customHeight="1"/>
    <row r="340" ht="22.5" customHeight="1"/>
    <row r="341" ht="22.5" customHeight="1"/>
    <row r="342" ht="22.5" customHeight="1"/>
    <row r="343" ht="22.5" customHeight="1"/>
    <row r="344" ht="22.5" customHeight="1"/>
    <row r="345" ht="22.5" customHeight="1"/>
    <row r="346" ht="22.5" customHeight="1"/>
    <row r="347" ht="22.5" customHeight="1"/>
    <row r="348" ht="22.5" customHeight="1"/>
    <row r="349" ht="22.5" customHeight="1"/>
    <row r="350" ht="22.5" customHeight="1"/>
    <row r="351" ht="22.5" customHeight="1"/>
    <row r="352" ht="22.5" customHeight="1"/>
  </sheetData>
  <sheetProtection algorithmName="SHA-512" hashValue="aDshBhmzNXhsQTxLIdYt+6x1+NqZa+BUKY47hnusL+GyubKLvR+w0c8hfPcIg3stthY/IV94RBT4lK7HLmOEcQ==" saltValue="2r/55Sek4cW80H/oY29DHw==" spinCount="100000" sheet="1" objects="1" scenarios="1" formatCells="0" formatColumns="0" formatRows="0"/>
  <mergeCells count="381">
    <mergeCell ref="I204:I211"/>
    <mergeCell ref="I212:I219"/>
    <mergeCell ref="I220:I227"/>
    <mergeCell ref="I228:I235"/>
    <mergeCell ref="I161:I168"/>
    <mergeCell ref="I56:I63"/>
    <mergeCell ref="I118:I125"/>
    <mergeCell ref="I129:I136"/>
    <mergeCell ref="I137:I144"/>
    <mergeCell ref="I145:I152"/>
    <mergeCell ref="I153:I160"/>
    <mergeCell ref="I177:I184"/>
    <mergeCell ref="I188:I195"/>
    <mergeCell ref="I196:I203"/>
    <mergeCell ref="O169:O176"/>
    <mergeCell ref="A24:A31"/>
    <mergeCell ref="D32:D39"/>
    <mergeCell ref="J32:J39"/>
    <mergeCell ref="K32:K39"/>
    <mergeCell ref="C145:C152"/>
    <mergeCell ref="J161:J168"/>
    <mergeCell ref="J145:J152"/>
    <mergeCell ref="J118:J125"/>
    <mergeCell ref="F118:F125"/>
    <mergeCell ref="E118:E125"/>
    <mergeCell ref="D118:D125"/>
    <mergeCell ref="C118:C125"/>
    <mergeCell ref="C110:C117"/>
    <mergeCell ref="J110:J117"/>
    <mergeCell ref="F110:F117"/>
    <mergeCell ref="D137:D144"/>
    <mergeCell ref="E137:E144"/>
    <mergeCell ref="F137:F144"/>
    <mergeCell ref="J137:J144"/>
    <mergeCell ref="C129:C136"/>
    <mergeCell ref="D129:D136"/>
    <mergeCell ref="E129:E136"/>
    <mergeCell ref="F129:F136"/>
    <mergeCell ref="C137:C144"/>
    <mergeCell ref="D145:D152"/>
    <mergeCell ref="F145:F152"/>
    <mergeCell ref="C21:C23"/>
    <mergeCell ref="D21:D23"/>
    <mergeCell ref="F21:F23"/>
    <mergeCell ref="J21:J23"/>
    <mergeCell ref="E21:E23"/>
    <mergeCell ref="C18:K18"/>
    <mergeCell ref="C19:K19"/>
    <mergeCell ref="C48:C55"/>
    <mergeCell ref="D48:D55"/>
    <mergeCell ref="E48:E55"/>
    <mergeCell ref="F48:F55"/>
    <mergeCell ref="J48:J55"/>
    <mergeCell ref="C32:C39"/>
    <mergeCell ref="E32:E39"/>
    <mergeCell ref="F32:F39"/>
    <mergeCell ref="C72:C74"/>
    <mergeCell ref="D72:D74"/>
    <mergeCell ref="F72:F74"/>
    <mergeCell ref="J72:J74"/>
    <mergeCell ref="G73:G74"/>
    <mergeCell ref="H73:H74"/>
    <mergeCell ref="J24:J31"/>
    <mergeCell ref="C40:C47"/>
    <mergeCell ref="D40:D47"/>
    <mergeCell ref="E40:E47"/>
    <mergeCell ref="F40:F47"/>
    <mergeCell ref="J40:J47"/>
    <mergeCell ref="C24:C31"/>
    <mergeCell ref="D24:D31"/>
    <mergeCell ref="E24:E31"/>
    <mergeCell ref="F24:F31"/>
    <mergeCell ref="I32:I39"/>
    <mergeCell ref="E72:E74"/>
    <mergeCell ref="C64:C71"/>
    <mergeCell ref="D64:D71"/>
    <mergeCell ref="E64:E71"/>
    <mergeCell ref="C83:C90"/>
    <mergeCell ref="D83:D90"/>
    <mergeCell ref="E83:E90"/>
    <mergeCell ref="F83:F90"/>
    <mergeCell ref="J83:J90"/>
    <mergeCell ref="C75:C82"/>
    <mergeCell ref="D75:D82"/>
    <mergeCell ref="E75:E82"/>
    <mergeCell ref="F75:F82"/>
    <mergeCell ref="J91:J98"/>
    <mergeCell ref="J99:J101"/>
    <mergeCell ref="G100:G101"/>
    <mergeCell ref="H100:H101"/>
    <mergeCell ref="C99:C101"/>
    <mergeCell ref="D99:D101"/>
    <mergeCell ref="F99:F101"/>
    <mergeCell ref="E99:E101"/>
    <mergeCell ref="I100:I101"/>
    <mergeCell ref="H127:H128"/>
    <mergeCell ref="E126:E128"/>
    <mergeCell ref="D110:D117"/>
    <mergeCell ref="I102:I109"/>
    <mergeCell ref="I110:I117"/>
    <mergeCell ref="G126:I126"/>
    <mergeCell ref="I127:I128"/>
    <mergeCell ref="C91:C98"/>
    <mergeCell ref="D91:D98"/>
    <mergeCell ref="E91:E98"/>
    <mergeCell ref="F91:F98"/>
    <mergeCell ref="C228:C235"/>
    <mergeCell ref="D228:D235"/>
    <mergeCell ref="E228:E235"/>
    <mergeCell ref="F228:F235"/>
    <mergeCell ref="J228:J235"/>
    <mergeCell ref="H186:H187"/>
    <mergeCell ref="C185:C187"/>
    <mergeCell ref="D185:D187"/>
    <mergeCell ref="F185:F187"/>
    <mergeCell ref="J185:J187"/>
    <mergeCell ref="G186:G187"/>
    <mergeCell ref="J188:J195"/>
    <mergeCell ref="C212:C219"/>
    <mergeCell ref="D212:D219"/>
    <mergeCell ref="E212:E219"/>
    <mergeCell ref="F212:F219"/>
    <mergeCell ref="J212:J219"/>
    <mergeCell ref="C188:C195"/>
    <mergeCell ref="D188:D195"/>
    <mergeCell ref="E188:E195"/>
    <mergeCell ref="F188:F195"/>
    <mergeCell ref="C204:C211"/>
    <mergeCell ref="C220:C227"/>
    <mergeCell ref="F204:F211"/>
    <mergeCell ref="K212:K219"/>
    <mergeCell ref="K220:K227"/>
    <mergeCell ref="J220:J227"/>
    <mergeCell ref="J196:J203"/>
    <mergeCell ref="J204:J211"/>
    <mergeCell ref="C153:C160"/>
    <mergeCell ref="D153:D160"/>
    <mergeCell ref="E153:E160"/>
    <mergeCell ref="F153:F160"/>
    <mergeCell ref="J153:J160"/>
    <mergeCell ref="C177:C184"/>
    <mergeCell ref="D177:D184"/>
    <mergeCell ref="E177:E184"/>
    <mergeCell ref="F177:F184"/>
    <mergeCell ref="J177:J184"/>
    <mergeCell ref="C196:C203"/>
    <mergeCell ref="E185:E187"/>
    <mergeCell ref="C161:C168"/>
    <mergeCell ref="D161:D168"/>
    <mergeCell ref="D196:D203"/>
    <mergeCell ref="D204:D211"/>
    <mergeCell ref="D220:D227"/>
    <mergeCell ref="F161:F168"/>
    <mergeCell ref="F196:F203"/>
    <mergeCell ref="F220:F227"/>
    <mergeCell ref="E13:E14"/>
    <mergeCell ref="F13:J14"/>
    <mergeCell ref="F15:J15"/>
    <mergeCell ref="J129:J136"/>
    <mergeCell ref="J75:J82"/>
    <mergeCell ref="F64:F71"/>
    <mergeCell ref="J64:J71"/>
    <mergeCell ref="G22:G23"/>
    <mergeCell ref="H22:H23"/>
    <mergeCell ref="G21:I21"/>
    <mergeCell ref="I22:I23"/>
    <mergeCell ref="I24:I31"/>
    <mergeCell ref="I40:I47"/>
    <mergeCell ref="I48:I55"/>
    <mergeCell ref="I64:I71"/>
    <mergeCell ref="G72:I72"/>
    <mergeCell ref="I73:I74"/>
    <mergeCell ref="I75:I82"/>
    <mergeCell ref="I83:I90"/>
    <mergeCell ref="I91:I98"/>
    <mergeCell ref="G99:I99"/>
    <mergeCell ref="G185:I185"/>
    <mergeCell ref="I186:I187"/>
    <mergeCell ref="K228:K235"/>
    <mergeCell ref="K196:K203"/>
    <mergeCell ref="K21:K23"/>
    <mergeCell ref="K24:K31"/>
    <mergeCell ref="K40:K47"/>
    <mergeCell ref="K48:K55"/>
    <mergeCell ref="K64:K71"/>
    <mergeCell ref="K72:K74"/>
    <mergeCell ref="K99:K101"/>
    <mergeCell ref="K126:K128"/>
    <mergeCell ref="K185:K187"/>
    <mergeCell ref="K75:K82"/>
    <mergeCell ref="K83:K90"/>
    <mergeCell ref="K91:K98"/>
    <mergeCell ref="K102:K109"/>
    <mergeCell ref="K110:K117"/>
    <mergeCell ref="K118:K125"/>
    <mergeCell ref="K129:K136"/>
    <mergeCell ref="K137:K144"/>
    <mergeCell ref="K145:K152"/>
    <mergeCell ref="K153:K160"/>
    <mergeCell ref="K161:K168"/>
    <mergeCell ref="K177:K184"/>
    <mergeCell ref="K188:K195"/>
    <mergeCell ref="B24:B31"/>
    <mergeCell ref="B21:B23"/>
    <mergeCell ref="B40:B47"/>
    <mergeCell ref="B48:B55"/>
    <mergeCell ref="B64:B71"/>
    <mergeCell ref="B72:B74"/>
    <mergeCell ref="B75:B82"/>
    <mergeCell ref="B83:B90"/>
    <mergeCell ref="B91:B98"/>
    <mergeCell ref="B32:B39"/>
    <mergeCell ref="B56:B63"/>
    <mergeCell ref="B99:B101"/>
    <mergeCell ref="B102:B109"/>
    <mergeCell ref="B110:B117"/>
    <mergeCell ref="B118:B125"/>
    <mergeCell ref="B126:B128"/>
    <mergeCell ref="B129:B136"/>
    <mergeCell ref="B137:B144"/>
    <mergeCell ref="B145:B152"/>
    <mergeCell ref="B153:B160"/>
    <mergeCell ref="B161:B168"/>
    <mergeCell ref="B177:B184"/>
    <mergeCell ref="B185:B187"/>
    <mergeCell ref="B188:B195"/>
    <mergeCell ref="B196:B203"/>
    <mergeCell ref="B204:B211"/>
    <mergeCell ref="B212:B219"/>
    <mergeCell ref="B220:B227"/>
    <mergeCell ref="B228:B235"/>
    <mergeCell ref="B169:B176"/>
    <mergeCell ref="L21:L23"/>
    <mergeCell ref="L24:L31"/>
    <mergeCell ref="L40:L47"/>
    <mergeCell ref="L48:L55"/>
    <mergeCell ref="L64:L71"/>
    <mergeCell ref="L72:L74"/>
    <mergeCell ref="L75:L82"/>
    <mergeCell ref="L83:L90"/>
    <mergeCell ref="L91:L98"/>
    <mergeCell ref="L56:L63"/>
    <mergeCell ref="L32:L39"/>
    <mergeCell ref="M169:M176"/>
    <mergeCell ref="L220:L227"/>
    <mergeCell ref="L228:L235"/>
    <mergeCell ref="L99:L101"/>
    <mergeCell ref="L102:L109"/>
    <mergeCell ref="L110:L117"/>
    <mergeCell ref="L118:L125"/>
    <mergeCell ref="L126:L128"/>
    <mergeCell ref="L129:L136"/>
    <mergeCell ref="L137:L144"/>
    <mergeCell ref="L145:L152"/>
    <mergeCell ref="L153:L160"/>
    <mergeCell ref="L161:L168"/>
    <mergeCell ref="L177:L184"/>
    <mergeCell ref="L185:L187"/>
    <mergeCell ref="L188:L195"/>
    <mergeCell ref="L196:L203"/>
    <mergeCell ref="L204:L211"/>
    <mergeCell ref="L212:L219"/>
    <mergeCell ref="L169:L176"/>
    <mergeCell ref="M32:M39"/>
    <mergeCell ref="M188:M195"/>
    <mergeCell ref="M196:M203"/>
    <mergeCell ref="M204:M211"/>
    <mergeCell ref="M212:M219"/>
    <mergeCell ref="M21:M23"/>
    <mergeCell ref="M24:M31"/>
    <mergeCell ref="M40:M47"/>
    <mergeCell ref="M48:M55"/>
    <mergeCell ref="M64:M71"/>
    <mergeCell ref="M72:M74"/>
    <mergeCell ref="M75:M82"/>
    <mergeCell ref="M83:M90"/>
    <mergeCell ref="M91:M98"/>
    <mergeCell ref="M118:M125"/>
    <mergeCell ref="M126:M128"/>
    <mergeCell ref="M129:M136"/>
    <mergeCell ref="M137:M144"/>
    <mergeCell ref="M145:M152"/>
    <mergeCell ref="M153:M160"/>
    <mergeCell ref="M161:M168"/>
    <mergeCell ref="M177:M184"/>
    <mergeCell ref="M185:M187"/>
    <mergeCell ref="M56:M63"/>
    <mergeCell ref="K204:K211"/>
    <mergeCell ref="O220:O227"/>
    <mergeCell ref="O228:O235"/>
    <mergeCell ref="O99:O101"/>
    <mergeCell ref="O102:O109"/>
    <mergeCell ref="O110:O117"/>
    <mergeCell ref="O118:O125"/>
    <mergeCell ref="O126:O128"/>
    <mergeCell ref="O129:O136"/>
    <mergeCell ref="O137:O144"/>
    <mergeCell ref="O145:O152"/>
    <mergeCell ref="O153:O160"/>
    <mergeCell ref="O161:O168"/>
    <mergeCell ref="O177:O184"/>
    <mergeCell ref="O185:O187"/>
    <mergeCell ref="O188:O195"/>
    <mergeCell ref="O196:O203"/>
    <mergeCell ref="O204:O211"/>
    <mergeCell ref="O212:O219"/>
    <mergeCell ref="M220:M227"/>
    <mergeCell ref="M228:M235"/>
    <mergeCell ref="M99:M101"/>
    <mergeCell ref="M102:M109"/>
    <mergeCell ref="M110:M117"/>
    <mergeCell ref="C56:C63"/>
    <mergeCell ref="D56:D63"/>
    <mergeCell ref="E56:E63"/>
    <mergeCell ref="F56:F63"/>
    <mergeCell ref="J56:J63"/>
    <mergeCell ref="K56:K63"/>
    <mergeCell ref="C169:C176"/>
    <mergeCell ref="D169:D176"/>
    <mergeCell ref="E161:E168"/>
    <mergeCell ref="E169:E176"/>
    <mergeCell ref="F169:F176"/>
    <mergeCell ref="I169:I176"/>
    <mergeCell ref="J169:J176"/>
    <mergeCell ref="K169:K176"/>
    <mergeCell ref="C102:C109"/>
    <mergeCell ref="D102:D109"/>
    <mergeCell ref="E102:E109"/>
    <mergeCell ref="F102:F109"/>
    <mergeCell ref="J102:J109"/>
    <mergeCell ref="C126:C128"/>
    <mergeCell ref="D126:D128"/>
    <mergeCell ref="F126:F128"/>
    <mergeCell ref="J126:J128"/>
    <mergeCell ref="G127:G128"/>
    <mergeCell ref="N126:N128"/>
    <mergeCell ref="N129:N136"/>
    <mergeCell ref="N137:N144"/>
    <mergeCell ref="N21:N23"/>
    <mergeCell ref="N24:N31"/>
    <mergeCell ref="O32:O39"/>
    <mergeCell ref="N40:N47"/>
    <mergeCell ref="N48:N55"/>
    <mergeCell ref="N56:N63"/>
    <mergeCell ref="N64:N71"/>
    <mergeCell ref="N72:N74"/>
    <mergeCell ref="N75:N82"/>
    <mergeCell ref="O21:O23"/>
    <mergeCell ref="O24:O31"/>
    <mergeCell ref="O40:O47"/>
    <mergeCell ref="O48:O55"/>
    <mergeCell ref="O64:O71"/>
    <mergeCell ref="O72:O74"/>
    <mergeCell ref="O75:O82"/>
    <mergeCell ref="O83:O90"/>
    <mergeCell ref="O91:O98"/>
    <mergeCell ref="O56:O63"/>
    <mergeCell ref="N212:N219"/>
    <mergeCell ref="N220:N227"/>
    <mergeCell ref="N228:N235"/>
    <mergeCell ref="N32:N39"/>
    <mergeCell ref="E110:E117"/>
    <mergeCell ref="E145:E152"/>
    <mergeCell ref="E196:E203"/>
    <mergeCell ref="E204:E211"/>
    <mergeCell ref="E220:E227"/>
    <mergeCell ref="N145:N152"/>
    <mergeCell ref="N153:N160"/>
    <mergeCell ref="N161:N168"/>
    <mergeCell ref="N169:N176"/>
    <mergeCell ref="N177:N184"/>
    <mergeCell ref="N185:N187"/>
    <mergeCell ref="N188:N195"/>
    <mergeCell ref="N196:N203"/>
    <mergeCell ref="N204:N211"/>
    <mergeCell ref="N83:N90"/>
    <mergeCell ref="N91:N98"/>
    <mergeCell ref="N99:N101"/>
    <mergeCell ref="N102:N109"/>
    <mergeCell ref="N110:N117"/>
    <mergeCell ref="N118:N125"/>
  </mergeCells>
  <dataValidations count="1">
    <dataValidation type="list" allowBlank="1" showInputMessage="1" showErrorMessage="1" sqref="F177:F184 J75:J98 J102:J125 F75:F98 J177 F102:F125 J228 F40:F71 F228:F235 F129:F145 J169 F188:F196 F204 F212:F220 J129 J137 J145 J153 J161 J188 J196 J204 J212 J220 F24:F32 J24:J32 F169 J40:J56 J64:J71 F153 F161" xr:uid="{00000000-0002-0000-0300-000000000000}">
      <formula1>"1,2,3"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83A343"/>
  </sheetPr>
  <dimension ref="B5:P160"/>
  <sheetViews>
    <sheetView showGridLines="0" topLeftCell="E16" zoomScaleNormal="100" workbookViewId="0">
      <selection activeCell="I16" sqref="I16:I23"/>
    </sheetView>
  </sheetViews>
  <sheetFormatPr defaultColWidth="3.28515625" defaultRowHeight="22.5" customHeight="1"/>
  <cols>
    <col min="1" max="1" width="2.5703125" style="9" customWidth="1"/>
    <col min="2" max="2" width="3.42578125" style="9" hidden="1" customWidth="1"/>
    <col min="3" max="4" width="42.5703125" style="9" customWidth="1"/>
    <col min="5" max="5" width="38" style="9" customWidth="1"/>
    <col min="6" max="6" width="7.42578125" style="9" customWidth="1"/>
    <col min="7" max="7" width="3.5703125" style="9" bestFit="1" customWidth="1"/>
    <col min="8" max="8" width="37" style="9" customWidth="1"/>
    <col min="9" max="9" width="41.7109375" style="9" customWidth="1"/>
    <col min="10" max="10" width="7.42578125" style="9" customWidth="1"/>
    <col min="11" max="11" width="16.28515625" style="9" customWidth="1"/>
    <col min="12" max="12" width="4.7109375" style="52" customWidth="1"/>
    <col min="13" max="13" width="7.5703125" style="52" customWidth="1"/>
    <col min="14" max="14" width="6.28515625" style="53" customWidth="1"/>
    <col min="15" max="15" width="6.28515625" style="74" customWidth="1"/>
    <col min="16" max="16" width="3.28515625" style="75" customWidth="1"/>
    <col min="17" max="16364" width="3.28515625" style="9" customWidth="1"/>
    <col min="16365" max="16384" width="3.28515625" style="9"/>
  </cols>
  <sheetData>
    <row r="5" spans="2:16" ht="10.15" customHeight="1"/>
    <row r="6" spans="2:16" ht="31.5" customHeight="1"/>
    <row r="7" spans="2:16" ht="30.75" customHeight="1">
      <c r="E7" s="13"/>
      <c r="F7" s="13"/>
    </row>
    <row r="8" spans="2:16" ht="20.25" customHeight="1"/>
    <row r="9" spans="2:16" ht="10.15" customHeight="1"/>
    <row r="10" spans="2:16" ht="19.899999999999999" customHeight="1">
      <c r="C10" s="400" t="s">
        <v>258</v>
      </c>
      <c r="D10" s="400"/>
      <c r="E10" s="400"/>
      <c r="F10" s="400"/>
      <c r="G10" s="400"/>
      <c r="H10" s="400"/>
      <c r="I10" s="400"/>
      <c r="J10" s="400"/>
      <c r="K10" s="400"/>
    </row>
    <row r="11" spans="2:16" ht="71.25" customHeight="1">
      <c r="C11" s="360" t="s">
        <v>259</v>
      </c>
      <c r="D11" s="360"/>
      <c r="E11" s="360"/>
      <c r="F11" s="360"/>
      <c r="G11" s="360"/>
      <c r="H11" s="360"/>
      <c r="I11" s="360"/>
      <c r="J11" s="360"/>
      <c r="K11" s="360"/>
    </row>
    <row r="12" spans="2:16" ht="10.15" customHeight="1">
      <c r="C12" s="10"/>
      <c r="D12" s="10"/>
      <c r="F12" s="11"/>
    </row>
    <row r="13" spans="2:16" ht="36.75" customHeight="1">
      <c r="B13" s="385" t="s">
        <v>111</v>
      </c>
      <c r="C13" s="391" t="s">
        <v>260</v>
      </c>
      <c r="D13" s="405" t="s">
        <v>8</v>
      </c>
      <c r="E13" s="405" t="s">
        <v>261</v>
      </c>
      <c r="F13" s="392" t="s">
        <v>262</v>
      </c>
      <c r="G13" s="403" t="s">
        <v>116</v>
      </c>
      <c r="H13" s="404"/>
      <c r="I13" s="404"/>
      <c r="J13" s="392" t="s">
        <v>263</v>
      </c>
      <c r="K13" s="392" t="s">
        <v>161</v>
      </c>
      <c r="L13" s="438"/>
      <c r="M13" s="438"/>
      <c r="N13" s="381"/>
      <c r="O13" s="440"/>
      <c r="P13" s="442"/>
    </row>
    <row r="14" spans="2:16" ht="29.25" customHeight="1">
      <c r="B14" s="386"/>
      <c r="C14" s="386"/>
      <c r="D14" s="407"/>
      <c r="E14" s="407"/>
      <c r="F14" s="392"/>
      <c r="G14" s="435" t="s">
        <v>13</v>
      </c>
      <c r="H14" s="405" t="s">
        <v>15</v>
      </c>
      <c r="I14" s="405" t="s">
        <v>17</v>
      </c>
      <c r="J14" s="392"/>
      <c r="K14" s="392"/>
      <c r="L14" s="438"/>
      <c r="M14" s="438"/>
      <c r="N14" s="381"/>
      <c r="O14" s="440"/>
      <c r="P14" s="442"/>
    </row>
    <row r="15" spans="2:16" ht="99.75" customHeight="1" thickBot="1">
      <c r="B15" s="387"/>
      <c r="C15" s="387"/>
      <c r="D15" s="408"/>
      <c r="E15" s="408"/>
      <c r="F15" s="393"/>
      <c r="G15" s="436"/>
      <c r="H15" s="406"/>
      <c r="I15" s="406"/>
      <c r="J15" s="393"/>
      <c r="K15" s="393"/>
      <c r="L15" s="438"/>
      <c r="M15" s="438"/>
      <c r="N15" s="381"/>
      <c r="O15" s="440"/>
      <c r="P15" s="442"/>
    </row>
    <row r="16" spans="2:16" ht="285" customHeight="1">
      <c r="B16" s="295" t="str">
        <f>+LEFT(C16,3)</f>
        <v>6.1</v>
      </c>
      <c r="C16" s="394" t="s">
        <v>264</v>
      </c>
      <c r="D16" s="252" t="s">
        <v>265</v>
      </c>
      <c r="E16" s="333" t="s">
        <v>266</v>
      </c>
      <c r="F16" s="258">
        <v>3</v>
      </c>
      <c r="G16" s="82">
        <v>1</v>
      </c>
      <c r="H16" s="123" t="s">
        <v>267</v>
      </c>
      <c r="I16" s="236" t="s">
        <v>268</v>
      </c>
      <c r="J16" s="279">
        <v>3</v>
      </c>
      <c r="K16" s="311" t="str">
        <f t="shared" ref="K16" si="0">+IF(OR(ISBLANK(F16),ISBLANK(J16)),"",IF(OR(AND(F16=1,J16=1),AND(F16=1,J16=2),AND(F16=1,J16=3)),"Deficiencia de control mayor (diseño y ejecución)",IF(OR(AND(F16=2,J16=2),AND(F16=3,J16=1),AND(F16=3,J16=2),AND(F16=2,J16=1)),"Deficiencia de control (diseño o ejecución)",IF(AND(F16=2,J16=3),"Oportunidad de mejora","Mantenimiento del control"))))</f>
        <v>Mantenimiento del control</v>
      </c>
      <c r="L16" s="292">
        <f>+IF(K16="",75,IF(K16="Deficiencia de control mayor (diseño y ejecución)",80,IF(K16="Deficiencia de control (diseño o ejecución)",100,IF(K16="Oportunidad de mejora",120,140))))</f>
        <v>140</v>
      </c>
      <c r="M16" s="439">
        <v>1.7896000000000001</v>
      </c>
      <c r="N16" s="379">
        <f>+L16+M16</f>
        <v>141.78960000000001</v>
      </c>
      <c r="P16" s="443"/>
    </row>
    <row r="17" spans="2:16" ht="132">
      <c r="B17" s="296"/>
      <c r="C17" s="395"/>
      <c r="D17" s="253"/>
      <c r="E17" s="334"/>
      <c r="F17" s="259"/>
      <c r="G17" s="77">
        <v>2</v>
      </c>
      <c r="H17" s="135" t="s">
        <v>194</v>
      </c>
      <c r="I17" s="239"/>
      <c r="J17" s="280"/>
      <c r="K17" s="312"/>
      <c r="L17" s="292"/>
      <c r="M17" s="439"/>
      <c r="N17" s="379"/>
      <c r="P17" s="443"/>
    </row>
    <row r="18" spans="2:16" ht="6" customHeight="1" thickBot="1">
      <c r="B18" s="296"/>
      <c r="C18" s="395"/>
      <c r="D18" s="253"/>
      <c r="E18" s="334"/>
      <c r="F18" s="259"/>
      <c r="G18" s="77">
        <v>3</v>
      </c>
      <c r="H18" s="77"/>
      <c r="I18" s="239"/>
      <c r="J18" s="280"/>
      <c r="K18" s="312"/>
      <c r="L18" s="292"/>
      <c r="M18" s="439"/>
      <c r="N18" s="379"/>
      <c r="P18" s="443"/>
    </row>
    <row r="19" spans="2:16" ht="13.5" hidden="1" customHeight="1" thickBot="1">
      <c r="B19" s="296"/>
      <c r="C19" s="395"/>
      <c r="D19" s="253"/>
      <c r="E19" s="334"/>
      <c r="F19" s="259"/>
      <c r="G19" s="77">
        <v>4</v>
      </c>
      <c r="H19" s="77"/>
      <c r="I19" s="239"/>
      <c r="J19" s="280"/>
      <c r="K19" s="312"/>
      <c r="L19" s="292"/>
      <c r="M19" s="439"/>
      <c r="N19" s="379"/>
      <c r="P19" s="443"/>
    </row>
    <row r="20" spans="2:16" ht="25.9" hidden="1" customHeight="1" thickBot="1">
      <c r="B20" s="296"/>
      <c r="C20" s="395"/>
      <c r="D20" s="253"/>
      <c r="E20" s="334"/>
      <c r="F20" s="259"/>
      <c r="G20" s="77">
        <v>5</v>
      </c>
      <c r="H20" s="77"/>
      <c r="I20" s="239"/>
      <c r="J20" s="280"/>
      <c r="K20" s="312"/>
      <c r="L20" s="292"/>
      <c r="M20" s="439"/>
      <c r="N20" s="379"/>
      <c r="P20" s="443"/>
    </row>
    <row r="21" spans="2:16" ht="25.9" hidden="1" customHeight="1" thickBot="1">
      <c r="B21" s="296"/>
      <c r="C21" s="395"/>
      <c r="D21" s="253"/>
      <c r="E21" s="334"/>
      <c r="F21" s="259"/>
      <c r="G21" s="77">
        <v>6</v>
      </c>
      <c r="H21" s="77"/>
      <c r="I21" s="239"/>
      <c r="J21" s="280"/>
      <c r="K21" s="312"/>
      <c r="L21" s="292"/>
      <c r="M21" s="439"/>
      <c r="N21" s="379"/>
      <c r="P21" s="443"/>
    </row>
    <row r="22" spans="2:16" ht="25.9" hidden="1" customHeight="1" thickBot="1">
      <c r="B22" s="296"/>
      <c r="C22" s="395"/>
      <c r="D22" s="253"/>
      <c r="E22" s="334"/>
      <c r="F22" s="259"/>
      <c r="G22" s="77">
        <v>7</v>
      </c>
      <c r="H22" s="77"/>
      <c r="I22" s="239"/>
      <c r="J22" s="280"/>
      <c r="K22" s="312"/>
      <c r="L22" s="292"/>
      <c r="M22" s="439"/>
      <c r="N22" s="379"/>
      <c r="P22" s="443"/>
    </row>
    <row r="23" spans="2:16" ht="25.9" hidden="1" customHeight="1" thickBot="1">
      <c r="B23" s="297"/>
      <c r="C23" s="396"/>
      <c r="D23" s="254"/>
      <c r="E23" s="335"/>
      <c r="F23" s="260"/>
      <c r="G23" s="81">
        <v>8</v>
      </c>
      <c r="H23" s="81"/>
      <c r="I23" s="240"/>
      <c r="J23" s="281"/>
      <c r="K23" s="313"/>
      <c r="L23" s="292"/>
      <c r="M23" s="439"/>
      <c r="N23" s="379"/>
      <c r="P23" s="443"/>
    </row>
    <row r="24" spans="2:16" ht="99">
      <c r="B24" s="382" t="str">
        <f>+LEFT(C24,3)</f>
        <v>6.2</v>
      </c>
      <c r="C24" s="421" t="s">
        <v>269</v>
      </c>
      <c r="D24" s="252" t="s">
        <v>270</v>
      </c>
      <c r="E24" s="333" t="s">
        <v>271</v>
      </c>
      <c r="F24" s="258">
        <v>3</v>
      </c>
      <c r="G24" s="82">
        <v>1</v>
      </c>
      <c r="H24" s="123" t="s">
        <v>272</v>
      </c>
      <c r="I24" s="236" t="s">
        <v>273</v>
      </c>
      <c r="J24" s="258">
        <v>2</v>
      </c>
      <c r="K24" s="311" t="str">
        <f t="shared" ref="K24:K32" si="1">+IF(OR(ISBLANK(F24),ISBLANK(J24)),"",IF(OR(AND(F24=1,J24=1),AND(F24=1,J24=2),AND(F24=1,J24=3)),"Deficiencia de control mayor (diseño y ejecución)",IF(OR(AND(F24=2,J24=2),AND(F24=3,J24=1),AND(F24=3,J24=2),AND(F24=2,J24=1)),"Deficiencia de control (diseño o ejecución)",IF(AND(F24=2,J24=3),"Oportunidad de mejora","Mantenimiento del control"))))</f>
        <v>Deficiencia de control (diseño o ejecución)</v>
      </c>
      <c r="L24" s="292">
        <f t="shared" ref="L24" si="2">+IF(K24="",75,IF(K24="Deficiencia de control mayor (diseño y ejecución)",80,IF(K24="Deficiencia de control (diseño o ejecución)",100,IF(K24="Oportunidad de mejora",120,140))))</f>
        <v>100</v>
      </c>
      <c r="M24" s="439">
        <v>1.8895999999999999</v>
      </c>
      <c r="N24" s="379">
        <f t="shared" ref="N24" si="3">+L24+M24</f>
        <v>101.8896</v>
      </c>
      <c r="O24" s="441"/>
      <c r="P24" s="443"/>
    </row>
    <row r="25" spans="2:16" ht="115.5">
      <c r="B25" s="383"/>
      <c r="C25" s="422"/>
      <c r="D25" s="253"/>
      <c r="E25" s="334"/>
      <c r="F25" s="259"/>
      <c r="G25" s="77">
        <v>2</v>
      </c>
      <c r="H25" s="124" t="s">
        <v>274</v>
      </c>
      <c r="I25" s="239"/>
      <c r="J25" s="259"/>
      <c r="K25" s="312"/>
      <c r="L25" s="292"/>
      <c r="M25" s="439"/>
      <c r="N25" s="379"/>
      <c r="O25" s="441"/>
      <c r="P25" s="443"/>
    </row>
    <row r="26" spans="2:16" ht="17.25" thickBot="1">
      <c r="B26" s="383"/>
      <c r="C26" s="422"/>
      <c r="D26" s="253"/>
      <c r="E26" s="334"/>
      <c r="F26" s="259"/>
      <c r="G26" s="77">
        <v>3</v>
      </c>
      <c r="H26" s="124"/>
      <c r="I26" s="239"/>
      <c r="J26" s="259"/>
      <c r="K26" s="312"/>
      <c r="L26" s="292"/>
      <c r="M26" s="439"/>
      <c r="N26" s="379"/>
      <c r="O26" s="441"/>
      <c r="P26" s="443"/>
    </row>
    <row r="27" spans="2:16" ht="0.4" customHeight="1" thickBot="1">
      <c r="B27" s="383"/>
      <c r="C27" s="422"/>
      <c r="D27" s="253"/>
      <c r="E27" s="334"/>
      <c r="F27" s="259"/>
      <c r="G27" s="77">
        <v>4</v>
      </c>
      <c r="H27" s="77"/>
      <c r="I27" s="239"/>
      <c r="J27" s="259"/>
      <c r="K27" s="312"/>
      <c r="L27" s="292"/>
      <c r="M27" s="439"/>
      <c r="N27" s="379"/>
      <c r="O27" s="441"/>
      <c r="P27" s="443"/>
    </row>
    <row r="28" spans="2:16" ht="22.5" hidden="1" customHeight="1" thickBot="1">
      <c r="B28" s="383"/>
      <c r="C28" s="422"/>
      <c r="D28" s="253"/>
      <c r="E28" s="334"/>
      <c r="F28" s="259"/>
      <c r="G28" s="77">
        <v>5</v>
      </c>
      <c r="H28" s="77"/>
      <c r="I28" s="239"/>
      <c r="J28" s="259"/>
      <c r="K28" s="312"/>
      <c r="L28" s="292"/>
      <c r="M28" s="439"/>
      <c r="N28" s="379"/>
      <c r="O28" s="441"/>
      <c r="P28" s="443"/>
    </row>
    <row r="29" spans="2:16" ht="22.5" hidden="1" customHeight="1" thickBot="1">
      <c r="B29" s="383"/>
      <c r="C29" s="422"/>
      <c r="D29" s="253"/>
      <c r="E29" s="334"/>
      <c r="F29" s="259"/>
      <c r="G29" s="77">
        <v>6</v>
      </c>
      <c r="H29" s="77"/>
      <c r="I29" s="239"/>
      <c r="J29" s="259"/>
      <c r="K29" s="312"/>
      <c r="L29" s="292"/>
      <c r="M29" s="439"/>
      <c r="N29" s="379"/>
      <c r="O29" s="441"/>
      <c r="P29" s="443"/>
    </row>
    <row r="30" spans="2:16" ht="22.5" hidden="1" customHeight="1" thickBot="1">
      <c r="B30" s="383"/>
      <c r="C30" s="422"/>
      <c r="D30" s="253"/>
      <c r="E30" s="334"/>
      <c r="F30" s="259"/>
      <c r="G30" s="77">
        <v>7</v>
      </c>
      <c r="H30" s="77"/>
      <c r="I30" s="239"/>
      <c r="J30" s="259"/>
      <c r="K30" s="312"/>
      <c r="L30" s="292"/>
      <c r="M30" s="439"/>
      <c r="N30" s="379"/>
      <c r="O30" s="441"/>
      <c r="P30" s="443"/>
    </row>
    <row r="31" spans="2:16" ht="22.5" hidden="1" customHeight="1" thickBot="1">
      <c r="B31" s="384"/>
      <c r="C31" s="423"/>
      <c r="D31" s="254"/>
      <c r="E31" s="335"/>
      <c r="F31" s="260"/>
      <c r="G31" s="81">
        <v>8</v>
      </c>
      <c r="H31" s="81"/>
      <c r="I31" s="240"/>
      <c r="J31" s="260"/>
      <c r="K31" s="313"/>
      <c r="L31" s="292"/>
      <c r="M31" s="439"/>
      <c r="N31" s="379"/>
      <c r="O31" s="441"/>
      <c r="P31" s="443"/>
    </row>
    <row r="32" spans="2:16" ht="49.5">
      <c r="B32" s="388" t="str">
        <f>+LEFT(C32,3)</f>
        <v>6.3</v>
      </c>
      <c r="C32" s="421" t="s">
        <v>275</v>
      </c>
      <c r="D32" s="252" t="s">
        <v>276</v>
      </c>
      <c r="E32" s="333" t="s">
        <v>277</v>
      </c>
      <c r="F32" s="258">
        <v>3</v>
      </c>
      <c r="G32" s="82">
        <v>1</v>
      </c>
      <c r="H32" s="123" t="s">
        <v>278</v>
      </c>
      <c r="I32" s="236" t="s">
        <v>279</v>
      </c>
      <c r="J32" s="258">
        <v>3</v>
      </c>
      <c r="K32" s="311" t="str">
        <f t="shared" si="1"/>
        <v>Mantenimiento del control</v>
      </c>
      <c r="L32" s="292">
        <f t="shared" ref="L32" si="4">+IF(K32="",75,IF(K32="Deficiencia de control mayor (diseño y ejecución)",80,IF(K32="Deficiencia de control (diseño o ejecución)",100,IF(K32="Oportunidad de mejora",120,140))))</f>
        <v>140</v>
      </c>
      <c r="M32" s="439">
        <v>1.9754</v>
      </c>
      <c r="N32" s="379">
        <f t="shared" ref="N32" si="5">+L32+M32</f>
        <v>141.97540000000001</v>
      </c>
      <c r="O32" s="441"/>
      <c r="P32" s="443"/>
    </row>
    <row r="33" spans="2:16" ht="130.15" customHeight="1">
      <c r="B33" s="389"/>
      <c r="C33" s="422"/>
      <c r="D33" s="253"/>
      <c r="E33" s="334"/>
      <c r="F33" s="259"/>
      <c r="G33" s="77">
        <v>2</v>
      </c>
      <c r="H33" s="124" t="s">
        <v>280</v>
      </c>
      <c r="I33" s="239"/>
      <c r="J33" s="259"/>
      <c r="K33" s="312"/>
      <c r="L33" s="292"/>
      <c r="M33" s="439"/>
      <c r="N33" s="379"/>
      <c r="O33" s="441"/>
      <c r="P33" s="443"/>
    </row>
    <row r="34" spans="2:16" ht="1.9" hidden="1" customHeight="1">
      <c r="B34" s="389"/>
      <c r="C34" s="422"/>
      <c r="D34" s="253"/>
      <c r="E34" s="334"/>
      <c r="F34" s="259"/>
      <c r="G34" s="77">
        <v>3</v>
      </c>
      <c r="H34" s="77"/>
      <c r="I34" s="239"/>
      <c r="J34" s="259"/>
      <c r="K34" s="312"/>
      <c r="L34" s="292"/>
      <c r="M34" s="439"/>
      <c r="N34" s="379"/>
      <c r="O34" s="441"/>
      <c r="P34" s="443"/>
    </row>
    <row r="35" spans="2:16" ht="22.5" hidden="1" customHeight="1">
      <c r="B35" s="389"/>
      <c r="C35" s="422"/>
      <c r="D35" s="253"/>
      <c r="E35" s="334"/>
      <c r="F35" s="259"/>
      <c r="G35" s="77">
        <v>4</v>
      </c>
      <c r="H35" s="77"/>
      <c r="I35" s="239"/>
      <c r="J35" s="259"/>
      <c r="K35" s="312"/>
      <c r="L35" s="292"/>
      <c r="M35" s="439"/>
      <c r="N35" s="379"/>
      <c r="O35" s="441"/>
      <c r="P35" s="443"/>
    </row>
    <row r="36" spans="2:16" ht="22.5" hidden="1" customHeight="1">
      <c r="B36" s="389"/>
      <c r="C36" s="422"/>
      <c r="D36" s="253"/>
      <c r="E36" s="334"/>
      <c r="F36" s="259"/>
      <c r="G36" s="77">
        <v>5</v>
      </c>
      <c r="H36" s="77"/>
      <c r="I36" s="239"/>
      <c r="J36" s="259"/>
      <c r="K36" s="312"/>
      <c r="L36" s="292"/>
      <c r="M36" s="439"/>
      <c r="N36" s="379"/>
      <c r="O36" s="441"/>
      <c r="P36" s="443"/>
    </row>
    <row r="37" spans="2:16" ht="22.5" hidden="1" customHeight="1">
      <c r="B37" s="389"/>
      <c r="C37" s="422"/>
      <c r="D37" s="253"/>
      <c r="E37" s="334"/>
      <c r="F37" s="259"/>
      <c r="G37" s="77">
        <v>6</v>
      </c>
      <c r="H37" s="77"/>
      <c r="I37" s="239"/>
      <c r="J37" s="259"/>
      <c r="K37" s="312"/>
      <c r="L37" s="292"/>
      <c r="M37" s="439"/>
      <c r="N37" s="379"/>
      <c r="O37" s="441"/>
      <c r="P37" s="443"/>
    </row>
    <row r="38" spans="2:16" ht="22.5" hidden="1" customHeight="1">
      <c r="B38" s="389"/>
      <c r="C38" s="422"/>
      <c r="D38" s="253"/>
      <c r="E38" s="334"/>
      <c r="F38" s="259"/>
      <c r="G38" s="77">
        <v>7</v>
      </c>
      <c r="H38" s="77"/>
      <c r="I38" s="239"/>
      <c r="J38" s="259"/>
      <c r="K38" s="312"/>
      <c r="L38" s="292"/>
      <c r="M38" s="439"/>
      <c r="N38" s="379"/>
      <c r="O38" s="441"/>
      <c r="P38" s="443"/>
    </row>
    <row r="39" spans="2:16" ht="1.5" customHeight="1" thickBot="1">
      <c r="B39" s="390"/>
      <c r="C39" s="423"/>
      <c r="D39" s="254"/>
      <c r="E39" s="335"/>
      <c r="F39" s="260"/>
      <c r="G39" s="81">
        <v>8</v>
      </c>
      <c r="H39" s="81"/>
      <c r="I39" s="240"/>
      <c r="J39" s="260"/>
      <c r="K39" s="313"/>
      <c r="L39" s="292"/>
      <c r="M39" s="439"/>
      <c r="N39" s="379"/>
      <c r="O39" s="441"/>
      <c r="P39" s="443"/>
    </row>
    <row r="40" spans="2:16" ht="22.5" customHeight="1">
      <c r="B40" s="391"/>
      <c r="C40" s="391" t="s">
        <v>281</v>
      </c>
      <c r="D40" s="405" t="s">
        <v>8</v>
      </c>
      <c r="E40" s="415"/>
      <c r="F40" s="413" t="s">
        <v>262</v>
      </c>
      <c r="G40" s="419" t="s">
        <v>116</v>
      </c>
      <c r="H40" s="420"/>
      <c r="I40" s="420"/>
      <c r="J40" s="413" t="s">
        <v>263</v>
      </c>
      <c r="K40" s="401" t="s">
        <v>161</v>
      </c>
      <c r="L40" s="437"/>
      <c r="M40" s="437"/>
      <c r="N40" s="380"/>
      <c r="O40" s="440"/>
      <c r="P40" s="442"/>
    </row>
    <row r="41" spans="2:16" ht="22.5" customHeight="1">
      <c r="B41" s="386"/>
      <c r="C41" s="386"/>
      <c r="D41" s="407"/>
      <c r="E41" s="430"/>
      <c r="F41" s="413"/>
      <c r="G41" s="417" t="s">
        <v>13</v>
      </c>
      <c r="H41" s="415" t="s">
        <v>15</v>
      </c>
      <c r="I41" s="415" t="s">
        <v>17</v>
      </c>
      <c r="J41" s="413"/>
      <c r="K41" s="401"/>
      <c r="L41" s="437"/>
      <c r="M41" s="437"/>
      <c r="N41" s="380"/>
      <c r="O41" s="440"/>
      <c r="P41" s="442"/>
    </row>
    <row r="42" spans="2:16" ht="91.5" customHeight="1" thickBot="1">
      <c r="B42" s="387"/>
      <c r="C42" s="387"/>
      <c r="D42" s="408"/>
      <c r="E42" s="431"/>
      <c r="F42" s="414"/>
      <c r="G42" s="418"/>
      <c r="H42" s="416"/>
      <c r="I42" s="416"/>
      <c r="J42" s="414"/>
      <c r="K42" s="402"/>
      <c r="L42" s="437"/>
      <c r="M42" s="437"/>
      <c r="N42" s="380"/>
      <c r="O42" s="440"/>
      <c r="P42" s="442"/>
    </row>
    <row r="43" spans="2:16" ht="66">
      <c r="B43" s="382" t="str">
        <f>+LEFT(C43,3)</f>
        <v>7.1</v>
      </c>
      <c r="C43" s="409" t="s">
        <v>282</v>
      </c>
      <c r="D43" s="427" t="s">
        <v>265</v>
      </c>
      <c r="E43" s="333" t="s">
        <v>283</v>
      </c>
      <c r="F43" s="258">
        <v>3</v>
      </c>
      <c r="G43" s="82">
        <v>1</v>
      </c>
      <c r="H43" s="123" t="s">
        <v>284</v>
      </c>
      <c r="I43" s="236" t="s">
        <v>285</v>
      </c>
      <c r="J43" s="258">
        <v>2</v>
      </c>
      <c r="K43" s="311" t="str">
        <f t="shared" ref="K43:K75" si="6">+IF(OR(ISBLANK(F43),ISBLANK(J43)),"",IF(OR(AND(F43=1,J43=1),AND(F43=1,J43=2),AND(F43=1,J43=3)),"Deficiencia de control mayor (diseño y ejecución)",IF(OR(AND(F43=2,J43=2),AND(F43=3,J43=1),AND(F43=3,J43=2),AND(F43=2,J43=1)),"Deficiencia de control (diseño o ejecución)",IF(AND(F43=2,J43=3),"Oportunidad de mejora","Mantenimiento del control"))))</f>
        <v>Deficiencia de control (diseño o ejecución)</v>
      </c>
      <c r="L43" s="292">
        <f t="shared" ref="L43:L75" si="7">+IF(K43="",75,IF(K43="Deficiencia de control mayor (diseño y ejecución)",80,IF(K43="Deficiencia de control (diseño o ejecución)",100,IF(K43="Oportunidad de mejora",120,140))))</f>
        <v>100</v>
      </c>
      <c r="M43" s="439">
        <v>2.0895999999999999</v>
      </c>
      <c r="N43" s="379">
        <f>+L43+M43</f>
        <v>102.0896</v>
      </c>
      <c r="O43" s="441"/>
      <c r="P43" s="443"/>
    </row>
    <row r="44" spans="2:16" ht="109.15" customHeight="1" thickBot="1">
      <c r="B44" s="383"/>
      <c r="C44" s="410"/>
      <c r="D44" s="428"/>
      <c r="E44" s="334"/>
      <c r="F44" s="259"/>
      <c r="G44" s="77">
        <v>2</v>
      </c>
      <c r="H44" s="124" t="s">
        <v>286</v>
      </c>
      <c r="I44" s="239"/>
      <c r="J44" s="259"/>
      <c r="K44" s="312"/>
      <c r="L44" s="292"/>
      <c r="M44" s="439"/>
      <c r="N44" s="379"/>
      <c r="O44" s="441"/>
      <c r="P44" s="443"/>
    </row>
    <row r="45" spans="2:16" ht="21.4" hidden="1" customHeight="1" thickBot="1">
      <c r="B45" s="383"/>
      <c r="C45" s="410"/>
      <c r="D45" s="428"/>
      <c r="E45" s="334"/>
      <c r="F45" s="259"/>
      <c r="G45" s="77">
        <v>3</v>
      </c>
      <c r="H45" s="77"/>
      <c r="I45" s="239"/>
      <c r="J45" s="259"/>
      <c r="K45" s="312"/>
      <c r="L45" s="292"/>
      <c r="M45" s="439"/>
      <c r="N45" s="379"/>
      <c r="O45" s="441"/>
      <c r="P45" s="443"/>
    </row>
    <row r="46" spans="2:16" ht="22.5" hidden="1" customHeight="1" thickBot="1">
      <c r="B46" s="383"/>
      <c r="C46" s="410"/>
      <c r="D46" s="428"/>
      <c r="E46" s="334"/>
      <c r="F46" s="259"/>
      <c r="G46" s="77">
        <v>4</v>
      </c>
      <c r="H46" s="77"/>
      <c r="I46" s="239"/>
      <c r="J46" s="259"/>
      <c r="K46" s="312"/>
      <c r="L46" s="292"/>
      <c r="M46" s="439"/>
      <c r="N46" s="379"/>
      <c r="O46" s="441"/>
      <c r="P46" s="443"/>
    </row>
    <row r="47" spans="2:16" ht="22.5" hidden="1" customHeight="1" thickBot="1">
      <c r="B47" s="383"/>
      <c r="C47" s="410"/>
      <c r="D47" s="428"/>
      <c r="E47" s="334"/>
      <c r="F47" s="259"/>
      <c r="G47" s="77">
        <v>5</v>
      </c>
      <c r="H47" s="77"/>
      <c r="I47" s="239"/>
      <c r="J47" s="259"/>
      <c r="K47" s="312"/>
      <c r="L47" s="292"/>
      <c r="M47" s="439"/>
      <c r="N47" s="379"/>
      <c r="O47" s="441"/>
      <c r="P47" s="443"/>
    </row>
    <row r="48" spans="2:16" ht="22.5" hidden="1" customHeight="1" thickBot="1">
      <c r="B48" s="383"/>
      <c r="C48" s="410"/>
      <c r="D48" s="428"/>
      <c r="E48" s="334"/>
      <c r="F48" s="259"/>
      <c r="G48" s="77">
        <v>6</v>
      </c>
      <c r="H48" s="77"/>
      <c r="I48" s="239"/>
      <c r="J48" s="259"/>
      <c r="K48" s="312"/>
      <c r="L48" s="292"/>
      <c r="M48" s="439"/>
      <c r="N48" s="379"/>
      <c r="O48" s="441"/>
      <c r="P48" s="443"/>
    </row>
    <row r="49" spans="2:16" ht="22.5" hidden="1" customHeight="1" thickBot="1">
      <c r="B49" s="383"/>
      <c r="C49" s="410"/>
      <c r="D49" s="428"/>
      <c r="E49" s="334"/>
      <c r="F49" s="259"/>
      <c r="G49" s="77">
        <v>7</v>
      </c>
      <c r="H49" s="77"/>
      <c r="I49" s="239"/>
      <c r="J49" s="259"/>
      <c r="K49" s="312"/>
      <c r="L49" s="292"/>
      <c r="M49" s="439"/>
      <c r="N49" s="379"/>
      <c r="O49" s="441"/>
      <c r="P49" s="443"/>
    </row>
    <row r="50" spans="2:16" ht="22.5" hidden="1" customHeight="1" thickBot="1">
      <c r="B50" s="384"/>
      <c r="C50" s="411"/>
      <c r="D50" s="429"/>
      <c r="E50" s="335"/>
      <c r="F50" s="260"/>
      <c r="G50" s="81">
        <v>8</v>
      </c>
      <c r="H50" s="81"/>
      <c r="I50" s="240"/>
      <c r="J50" s="260"/>
      <c r="K50" s="313"/>
      <c r="L50" s="292"/>
      <c r="M50" s="439"/>
      <c r="N50" s="379"/>
      <c r="O50" s="441"/>
      <c r="P50" s="443"/>
    </row>
    <row r="51" spans="2:16" ht="66">
      <c r="B51" s="382" t="str">
        <f>+LEFT(C51,3)</f>
        <v>7.2</v>
      </c>
      <c r="C51" s="421" t="s">
        <v>287</v>
      </c>
      <c r="D51" s="252" t="s">
        <v>288</v>
      </c>
      <c r="E51" s="333" t="s">
        <v>289</v>
      </c>
      <c r="F51" s="258">
        <v>3</v>
      </c>
      <c r="G51" s="82">
        <v>1</v>
      </c>
      <c r="H51" s="123" t="s">
        <v>284</v>
      </c>
      <c r="I51" s="236" t="s">
        <v>290</v>
      </c>
      <c r="J51" s="258">
        <v>3</v>
      </c>
      <c r="K51" s="311" t="str">
        <f t="shared" si="6"/>
        <v>Mantenimiento del control</v>
      </c>
      <c r="L51" s="292">
        <f t="shared" si="7"/>
        <v>140</v>
      </c>
      <c r="M51" s="439">
        <v>2.1456</v>
      </c>
      <c r="N51" s="379">
        <f t="shared" ref="N51:N75" si="8">+L51+M51</f>
        <v>142.1456</v>
      </c>
      <c r="O51" s="441"/>
      <c r="P51" s="443"/>
    </row>
    <row r="52" spans="2:16" ht="66">
      <c r="B52" s="383"/>
      <c r="C52" s="422"/>
      <c r="D52" s="253"/>
      <c r="E52" s="334"/>
      <c r="F52" s="259"/>
      <c r="G52" s="77">
        <v>2</v>
      </c>
      <c r="H52" s="124" t="s">
        <v>291</v>
      </c>
      <c r="I52" s="239"/>
      <c r="J52" s="259"/>
      <c r="K52" s="312"/>
      <c r="L52" s="292"/>
      <c r="M52" s="439"/>
      <c r="N52" s="379"/>
      <c r="O52" s="441"/>
      <c r="P52" s="443"/>
    </row>
    <row r="53" spans="2:16" ht="66">
      <c r="B53" s="383"/>
      <c r="C53" s="422"/>
      <c r="D53" s="253"/>
      <c r="E53" s="334"/>
      <c r="F53" s="259"/>
      <c r="G53" s="77">
        <v>3</v>
      </c>
      <c r="H53" s="124" t="s">
        <v>292</v>
      </c>
      <c r="I53" s="239"/>
      <c r="J53" s="259"/>
      <c r="K53" s="312"/>
      <c r="L53" s="292"/>
      <c r="M53" s="439"/>
      <c r="N53" s="379"/>
      <c r="O53" s="441"/>
      <c r="P53" s="443"/>
    </row>
    <row r="54" spans="2:16" ht="85.9" customHeight="1" thickBot="1">
      <c r="B54" s="383"/>
      <c r="C54" s="422"/>
      <c r="D54" s="253"/>
      <c r="E54" s="334"/>
      <c r="F54" s="259"/>
      <c r="G54" s="77">
        <v>4</v>
      </c>
      <c r="H54" s="135" t="s">
        <v>293</v>
      </c>
      <c r="I54" s="239"/>
      <c r="J54" s="259"/>
      <c r="K54" s="312"/>
      <c r="L54" s="292"/>
      <c r="M54" s="439"/>
      <c r="N54" s="379"/>
      <c r="O54" s="441"/>
      <c r="P54" s="443"/>
    </row>
    <row r="55" spans="2:16" ht="0.4" customHeight="1" thickBot="1">
      <c r="B55" s="383"/>
      <c r="C55" s="422"/>
      <c r="D55" s="253"/>
      <c r="E55" s="334"/>
      <c r="F55" s="259"/>
      <c r="G55" s="77">
        <v>5</v>
      </c>
      <c r="H55" s="77"/>
      <c r="I55" s="239"/>
      <c r="J55" s="259"/>
      <c r="K55" s="312"/>
      <c r="L55" s="292"/>
      <c r="M55" s="439"/>
      <c r="N55" s="379"/>
      <c r="O55" s="441"/>
      <c r="P55" s="443"/>
    </row>
    <row r="56" spans="2:16" ht="36" hidden="1" customHeight="1" thickBot="1">
      <c r="B56" s="383"/>
      <c r="C56" s="422"/>
      <c r="D56" s="253"/>
      <c r="E56" s="334"/>
      <c r="F56" s="259"/>
      <c r="G56" s="77">
        <v>6</v>
      </c>
      <c r="H56" s="77"/>
      <c r="I56" s="239"/>
      <c r="J56" s="259"/>
      <c r="K56" s="312"/>
      <c r="L56" s="292"/>
      <c r="M56" s="439"/>
      <c r="N56" s="379"/>
      <c r="O56" s="441"/>
      <c r="P56" s="443"/>
    </row>
    <row r="57" spans="2:16" ht="37.9" hidden="1" customHeight="1" thickBot="1">
      <c r="B57" s="383"/>
      <c r="C57" s="422"/>
      <c r="D57" s="253"/>
      <c r="E57" s="334"/>
      <c r="F57" s="259"/>
      <c r="G57" s="77">
        <v>7</v>
      </c>
      <c r="H57" s="77"/>
      <c r="I57" s="239"/>
      <c r="J57" s="259"/>
      <c r="K57" s="312"/>
      <c r="L57" s="292"/>
      <c r="M57" s="439"/>
      <c r="N57" s="379"/>
      <c r="O57" s="441"/>
      <c r="P57" s="443"/>
    </row>
    <row r="58" spans="2:16" ht="37.9" hidden="1" customHeight="1" thickBot="1">
      <c r="B58" s="384"/>
      <c r="C58" s="423"/>
      <c r="D58" s="254"/>
      <c r="E58" s="335"/>
      <c r="F58" s="260"/>
      <c r="G58" s="81">
        <v>8</v>
      </c>
      <c r="H58" s="81"/>
      <c r="I58" s="240"/>
      <c r="J58" s="260"/>
      <c r="K58" s="313"/>
      <c r="L58" s="292"/>
      <c r="M58" s="439"/>
      <c r="N58" s="379"/>
      <c r="O58" s="441"/>
      <c r="P58" s="443"/>
    </row>
    <row r="59" spans="2:16" ht="66">
      <c r="B59" s="382" t="str">
        <f>+LEFT(C59,3)</f>
        <v>7.3</v>
      </c>
      <c r="C59" s="421" t="s">
        <v>294</v>
      </c>
      <c r="D59" s="252" t="s">
        <v>288</v>
      </c>
      <c r="E59" s="333" t="s">
        <v>295</v>
      </c>
      <c r="F59" s="258">
        <v>3</v>
      </c>
      <c r="G59" s="82">
        <v>1</v>
      </c>
      <c r="H59" s="123" t="s">
        <v>284</v>
      </c>
      <c r="I59" s="236" t="s">
        <v>296</v>
      </c>
      <c r="J59" s="258">
        <v>3</v>
      </c>
      <c r="K59" s="311" t="str">
        <f t="shared" si="6"/>
        <v>Mantenimiento del control</v>
      </c>
      <c r="L59" s="292">
        <f t="shared" si="7"/>
        <v>140</v>
      </c>
      <c r="M59" s="439">
        <v>2.2364999999999999</v>
      </c>
      <c r="N59" s="379">
        <f t="shared" si="8"/>
        <v>142.23650000000001</v>
      </c>
      <c r="O59" s="441"/>
      <c r="P59" s="443"/>
    </row>
    <row r="60" spans="2:16" ht="98.45" customHeight="1">
      <c r="B60" s="383"/>
      <c r="C60" s="422"/>
      <c r="D60" s="253"/>
      <c r="E60" s="334"/>
      <c r="F60" s="259"/>
      <c r="G60" s="77">
        <v>2</v>
      </c>
      <c r="H60" s="124" t="s">
        <v>297</v>
      </c>
      <c r="I60" s="239"/>
      <c r="J60" s="259"/>
      <c r="K60" s="312"/>
      <c r="L60" s="292"/>
      <c r="M60" s="439"/>
      <c r="N60" s="379"/>
      <c r="O60" s="441"/>
      <c r="P60" s="443"/>
    </row>
    <row r="61" spans="2:16" ht="27" customHeight="1">
      <c r="B61" s="383"/>
      <c r="C61" s="422"/>
      <c r="D61" s="253"/>
      <c r="E61" s="334"/>
      <c r="F61" s="259"/>
      <c r="G61" s="77">
        <v>3</v>
      </c>
      <c r="H61" s="77"/>
      <c r="I61" s="239"/>
      <c r="J61" s="259"/>
      <c r="K61" s="312"/>
      <c r="L61" s="292"/>
      <c r="M61" s="439"/>
      <c r="N61" s="379"/>
      <c r="O61" s="441"/>
      <c r="P61" s="443"/>
    </row>
    <row r="62" spans="2:16" ht="1.5" customHeight="1" thickBot="1">
      <c r="B62" s="383"/>
      <c r="C62" s="422"/>
      <c r="D62" s="253"/>
      <c r="E62" s="334"/>
      <c r="F62" s="259"/>
      <c r="G62" s="77">
        <v>4</v>
      </c>
      <c r="H62" s="77"/>
      <c r="I62" s="239"/>
      <c r="J62" s="259"/>
      <c r="K62" s="312"/>
      <c r="L62" s="292"/>
      <c r="M62" s="439"/>
      <c r="N62" s="379"/>
      <c r="O62" s="441"/>
      <c r="P62" s="443"/>
    </row>
    <row r="63" spans="2:16" ht="27" hidden="1" customHeight="1" thickBot="1">
      <c r="B63" s="383"/>
      <c r="C63" s="422"/>
      <c r="D63" s="253"/>
      <c r="E63" s="334"/>
      <c r="F63" s="259"/>
      <c r="G63" s="77">
        <v>5</v>
      </c>
      <c r="H63" s="77"/>
      <c r="I63" s="239"/>
      <c r="J63" s="259"/>
      <c r="K63" s="312"/>
      <c r="L63" s="292"/>
      <c r="M63" s="439"/>
      <c r="N63" s="379"/>
      <c r="O63" s="441"/>
      <c r="P63" s="443"/>
    </row>
    <row r="64" spans="2:16" ht="27" hidden="1" customHeight="1" thickBot="1">
      <c r="B64" s="383"/>
      <c r="C64" s="422"/>
      <c r="D64" s="253"/>
      <c r="E64" s="334"/>
      <c r="F64" s="259"/>
      <c r="G64" s="77">
        <v>6</v>
      </c>
      <c r="H64" s="77"/>
      <c r="I64" s="239"/>
      <c r="J64" s="259"/>
      <c r="K64" s="312"/>
      <c r="L64" s="292"/>
      <c r="M64" s="439"/>
      <c r="N64" s="379"/>
      <c r="O64" s="441"/>
      <c r="P64" s="443"/>
    </row>
    <row r="65" spans="2:16" ht="27" hidden="1" customHeight="1" thickBot="1">
      <c r="B65" s="383"/>
      <c r="C65" s="422"/>
      <c r="D65" s="253"/>
      <c r="E65" s="334"/>
      <c r="F65" s="259"/>
      <c r="G65" s="77">
        <v>7</v>
      </c>
      <c r="H65" s="77"/>
      <c r="I65" s="239"/>
      <c r="J65" s="259"/>
      <c r="K65" s="312"/>
      <c r="L65" s="292"/>
      <c r="M65" s="439"/>
      <c r="N65" s="379"/>
      <c r="O65" s="441"/>
      <c r="P65" s="443"/>
    </row>
    <row r="66" spans="2:16" ht="27" hidden="1" customHeight="1" thickBot="1">
      <c r="B66" s="384"/>
      <c r="C66" s="423"/>
      <c r="D66" s="254"/>
      <c r="E66" s="335"/>
      <c r="F66" s="260"/>
      <c r="G66" s="81">
        <v>8</v>
      </c>
      <c r="H66" s="81"/>
      <c r="I66" s="240"/>
      <c r="J66" s="260"/>
      <c r="K66" s="313"/>
      <c r="L66" s="292"/>
      <c r="M66" s="439"/>
      <c r="N66" s="379"/>
      <c r="O66" s="441"/>
      <c r="P66" s="443"/>
    </row>
    <row r="67" spans="2:16" ht="66">
      <c r="B67" s="382" t="str">
        <f>+LEFT(C67,3)</f>
        <v>7.4</v>
      </c>
      <c r="C67" s="421" t="s">
        <v>298</v>
      </c>
      <c r="D67" s="432" t="s">
        <v>299</v>
      </c>
      <c r="E67" s="333" t="s">
        <v>300</v>
      </c>
      <c r="F67" s="258">
        <v>3</v>
      </c>
      <c r="G67" s="82">
        <v>1</v>
      </c>
      <c r="H67" s="123" t="s">
        <v>284</v>
      </c>
      <c r="I67" s="236" t="s">
        <v>296</v>
      </c>
      <c r="J67" s="258">
        <v>3</v>
      </c>
      <c r="K67" s="311" t="str">
        <f t="shared" si="6"/>
        <v>Mantenimiento del control</v>
      </c>
      <c r="L67" s="292">
        <f t="shared" si="7"/>
        <v>140</v>
      </c>
      <c r="M67" s="439">
        <v>2.3896000000000002</v>
      </c>
      <c r="N67" s="379">
        <f t="shared" si="8"/>
        <v>142.3896</v>
      </c>
      <c r="O67" s="441"/>
      <c r="P67" s="443"/>
    </row>
    <row r="68" spans="2:16" ht="148.5">
      <c r="B68" s="383"/>
      <c r="C68" s="422"/>
      <c r="D68" s="433"/>
      <c r="E68" s="334"/>
      <c r="F68" s="259"/>
      <c r="G68" s="77">
        <v>2</v>
      </c>
      <c r="H68" s="124" t="s">
        <v>301</v>
      </c>
      <c r="I68" s="239"/>
      <c r="J68" s="259"/>
      <c r="K68" s="312"/>
      <c r="L68" s="292"/>
      <c r="M68" s="439"/>
      <c r="N68" s="379"/>
      <c r="O68" s="441"/>
      <c r="P68" s="443"/>
    </row>
    <row r="69" spans="2:16" ht="25.5" customHeight="1">
      <c r="B69" s="383"/>
      <c r="C69" s="422"/>
      <c r="D69" s="433"/>
      <c r="E69" s="334"/>
      <c r="F69" s="259"/>
      <c r="G69" s="77">
        <v>3</v>
      </c>
      <c r="H69" s="77"/>
      <c r="I69" s="239"/>
      <c r="J69" s="259"/>
      <c r="K69" s="312"/>
      <c r="L69" s="292"/>
      <c r="M69" s="439"/>
      <c r="N69" s="379"/>
      <c r="O69" s="441"/>
      <c r="P69" s="443"/>
    </row>
    <row r="70" spans="2:16" ht="1.1499999999999999" customHeight="1">
      <c r="B70" s="383"/>
      <c r="C70" s="422"/>
      <c r="D70" s="433"/>
      <c r="E70" s="334"/>
      <c r="F70" s="259"/>
      <c r="G70" s="77">
        <v>4</v>
      </c>
      <c r="H70" s="77"/>
      <c r="I70" s="239"/>
      <c r="J70" s="259"/>
      <c r="K70" s="312"/>
      <c r="L70" s="292"/>
      <c r="M70" s="439"/>
      <c r="N70" s="379"/>
      <c r="O70" s="441"/>
      <c r="P70" s="443"/>
    </row>
    <row r="71" spans="2:16" ht="24" hidden="1" customHeight="1">
      <c r="B71" s="383"/>
      <c r="C71" s="422"/>
      <c r="D71" s="433"/>
      <c r="E71" s="334"/>
      <c r="F71" s="259"/>
      <c r="G71" s="77">
        <v>5</v>
      </c>
      <c r="H71" s="77"/>
      <c r="I71" s="239"/>
      <c r="J71" s="259"/>
      <c r="K71" s="312"/>
      <c r="L71" s="292"/>
      <c r="M71" s="439"/>
      <c r="N71" s="379"/>
      <c r="O71" s="441"/>
      <c r="P71" s="443"/>
    </row>
    <row r="72" spans="2:16" ht="25.15" hidden="1" customHeight="1">
      <c r="B72" s="383"/>
      <c r="C72" s="422"/>
      <c r="D72" s="433"/>
      <c r="E72" s="334"/>
      <c r="F72" s="259"/>
      <c r="G72" s="77">
        <v>6</v>
      </c>
      <c r="H72" s="77"/>
      <c r="I72" s="239"/>
      <c r="J72" s="259"/>
      <c r="K72" s="312"/>
      <c r="L72" s="292"/>
      <c r="M72" s="439"/>
      <c r="N72" s="379"/>
      <c r="O72" s="441"/>
      <c r="P72" s="443"/>
    </row>
    <row r="73" spans="2:16" ht="1.1499999999999999" customHeight="1" thickBot="1">
      <c r="B73" s="383"/>
      <c r="C73" s="422"/>
      <c r="D73" s="433"/>
      <c r="E73" s="334"/>
      <c r="F73" s="259"/>
      <c r="G73" s="77">
        <v>7</v>
      </c>
      <c r="H73" s="77"/>
      <c r="I73" s="239"/>
      <c r="J73" s="259"/>
      <c r="K73" s="312"/>
      <c r="L73" s="292"/>
      <c r="M73" s="439"/>
      <c r="N73" s="379"/>
      <c r="O73" s="441"/>
      <c r="P73" s="443"/>
    </row>
    <row r="74" spans="2:16" ht="30.4" hidden="1" customHeight="1" thickBot="1">
      <c r="B74" s="384"/>
      <c r="C74" s="423"/>
      <c r="D74" s="434"/>
      <c r="E74" s="335"/>
      <c r="F74" s="260"/>
      <c r="G74" s="81">
        <v>8</v>
      </c>
      <c r="H74" s="81"/>
      <c r="I74" s="240"/>
      <c r="J74" s="260"/>
      <c r="K74" s="313"/>
      <c r="L74" s="292"/>
      <c r="M74" s="439"/>
      <c r="N74" s="379"/>
      <c r="O74" s="441"/>
      <c r="P74" s="443"/>
    </row>
    <row r="75" spans="2:16" ht="52.5" customHeight="1">
      <c r="B75" s="382" t="str">
        <f>+LEFT(C75,3)</f>
        <v>7.5</v>
      </c>
      <c r="C75" s="421" t="s">
        <v>302</v>
      </c>
      <c r="D75" s="252" t="s">
        <v>303</v>
      </c>
      <c r="E75" s="333" t="s">
        <v>304</v>
      </c>
      <c r="F75" s="258">
        <v>3</v>
      </c>
      <c r="G75" s="82">
        <v>1</v>
      </c>
      <c r="H75" s="123" t="s">
        <v>284</v>
      </c>
      <c r="I75" s="236" t="s">
        <v>305</v>
      </c>
      <c r="J75" s="258">
        <v>3</v>
      </c>
      <c r="K75" s="311" t="str">
        <f t="shared" si="6"/>
        <v>Mantenimiento del control</v>
      </c>
      <c r="L75" s="292">
        <f t="shared" si="7"/>
        <v>140</v>
      </c>
      <c r="M75" s="439">
        <v>2.4563000000000001</v>
      </c>
      <c r="N75" s="379">
        <f t="shared" si="8"/>
        <v>142.4563</v>
      </c>
      <c r="O75" s="441"/>
      <c r="P75" s="443"/>
    </row>
    <row r="76" spans="2:16" ht="100.15" customHeight="1">
      <c r="B76" s="383"/>
      <c r="C76" s="422"/>
      <c r="D76" s="253"/>
      <c r="E76" s="341"/>
      <c r="F76" s="259"/>
      <c r="G76" s="77">
        <v>2</v>
      </c>
      <c r="H76" s="124" t="s">
        <v>306</v>
      </c>
      <c r="I76" s="239"/>
      <c r="J76" s="259"/>
      <c r="K76" s="312"/>
      <c r="L76" s="292"/>
      <c r="M76" s="439"/>
      <c r="N76" s="379"/>
      <c r="O76" s="441"/>
      <c r="P76" s="443"/>
    </row>
    <row r="77" spans="2:16" ht="59.65" customHeight="1">
      <c r="B77" s="383"/>
      <c r="C77" s="422"/>
      <c r="D77" s="253"/>
      <c r="E77" s="341"/>
      <c r="F77" s="259"/>
      <c r="G77" s="77">
        <v>3</v>
      </c>
      <c r="H77" s="77"/>
      <c r="I77" s="239"/>
      <c r="J77" s="259"/>
      <c r="K77" s="312"/>
      <c r="L77" s="292"/>
      <c r="M77" s="439"/>
      <c r="N77" s="379"/>
      <c r="O77" s="441"/>
      <c r="P77" s="443"/>
    </row>
    <row r="78" spans="2:16" ht="1.5" customHeight="1">
      <c r="B78" s="383"/>
      <c r="C78" s="422"/>
      <c r="D78" s="253"/>
      <c r="E78" s="341"/>
      <c r="F78" s="259"/>
      <c r="G78" s="77">
        <v>4</v>
      </c>
      <c r="H78" s="77"/>
      <c r="I78" s="239"/>
      <c r="J78" s="259"/>
      <c r="K78" s="312"/>
      <c r="L78" s="292"/>
      <c r="M78" s="439"/>
      <c r="N78" s="379"/>
      <c r="O78" s="441"/>
      <c r="P78" s="443"/>
    </row>
    <row r="79" spans="2:16" ht="43.15" hidden="1" customHeight="1">
      <c r="B79" s="383"/>
      <c r="C79" s="422"/>
      <c r="D79" s="253"/>
      <c r="E79" s="341"/>
      <c r="F79" s="259"/>
      <c r="G79" s="77">
        <v>5</v>
      </c>
      <c r="H79" s="77"/>
      <c r="I79" s="239"/>
      <c r="J79" s="259"/>
      <c r="K79" s="312"/>
      <c r="L79" s="292"/>
      <c r="M79" s="439"/>
      <c r="N79" s="379"/>
      <c r="O79" s="441"/>
      <c r="P79" s="443"/>
    </row>
    <row r="80" spans="2:16" ht="52.15" hidden="1" customHeight="1">
      <c r="B80" s="383"/>
      <c r="C80" s="422"/>
      <c r="D80" s="253"/>
      <c r="E80" s="341"/>
      <c r="F80" s="259"/>
      <c r="G80" s="77">
        <v>6</v>
      </c>
      <c r="H80" s="77"/>
      <c r="I80" s="239"/>
      <c r="J80" s="259"/>
      <c r="K80" s="312"/>
      <c r="L80" s="292"/>
      <c r="M80" s="439"/>
      <c r="N80" s="379"/>
      <c r="O80" s="441"/>
      <c r="P80" s="443"/>
    </row>
    <row r="81" spans="2:16" ht="70.5" hidden="1" customHeight="1">
      <c r="B81" s="383"/>
      <c r="C81" s="422"/>
      <c r="D81" s="253"/>
      <c r="E81" s="341"/>
      <c r="F81" s="259"/>
      <c r="G81" s="77">
        <v>7</v>
      </c>
      <c r="H81" s="77"/>
      <c r="I81" s="239"/>
      <c r="J81" s="259"/>
      <c r="K81" s="312"/>
      <c r="L81" s="292"/>
      <c r="M81" s="439"/>
      <c r="N81" s="379"/>
      <c r="O81" s="441"/>
      <c r="P81" s="443"/>
    </row>
    <row r="82" spans="2:16" ht="89.65" hidden="1" customHeight="1" thickBot="1">
      <c r="B82" s="384"/>
      <c r="C82" s="423"/>
      <c r="D82" s="254"/>
      <c r="E82" s="342"/>
      <c r="F82" s="260"/>
      <c r="G82" s="81">
        <v>8</v>
      </c>
      <c r="H82" s="81"/>
      <c r="I82" s="240"/>
      <c r="J82" s="260"/>
      <c r="K82" s="313"/>
      <c r="L82" s="292"/>
      <c r="M82" s="439"/>
      <c r="N82" s="379"/>
      <c r="O82" s="441"/>
      <c r="P82" s="443"/>
    </row>
    <row r="83" spans="2:16" ht="22.5" customHeight="1">
      <c r="B83" s="397"/>
      <c r="C83" s="397" t="s">
        <v>307</v>
      </c>
      <c r="D83" s="405" t="s">
        <v>8</v>
      </c>
      <c r="E83" s="415" t="s">
        <v>261</v>
      </c>
      <c r="F83" s="413" t="s">
        <v>262</v>
      </c>
      <c r="G83" s="419" t="s">
        <v>116</v>
      </c>
      <c r="H83" s="420"/>
      <c r="I83" s="420"/>
      <c r="J83" s="413" t="s">
        <v>263</v>
      </c>
      <c r="K83" s="401" t="s">
        <v>161</v>
      </c>
      <c r="L83" s="437"/>
      <c r="M83" s="437"/>
      <c r="N83" s="380"/>
      <c r="O83" s="440"/>
      <c r="P83" s="442"/>
    </row>
    <row r="84" spans="2:16" ht="22.5" customHeight="1">
      <c r="B84" s="398"/>
      <c r="C84" s="398"/>
      <c r="D84" s="407"/>
      <c r="E84" s="430"/>
      <c r="F84" s="413"/>
      <c r="G84" s="417" t="s">
        <v>13</v>
      </c>
      <c r="H84" s="415" t="s">
        <v>15</v>
      </c>
      <c r="I84" s="415" t="s">
        <v>17</v>
      </c>
      <c r="J84" s="413"/>
      <c r="K84" s="401"/>
      <c r="L84" s="437"/>
      <c r="M84" s="437"/>
      <c r="N84" s="380"/>
      <c r="O84" s="440"/>
      <c r="P84" s="442"/>
    </row>
    <row r="85" spans="2:16" ht="72" customHeight="1" thickBot="1">
      <c r="B85" s="399"/>
      <c r="C85" s="399"/>
      <c r="D85" s="408"/>
      <c r="E85" s="431"/>
      <c r="F85" s="414"/>
      <c r="G85" s="418"/>
      <c r="H85" s="416"/>
      <c r="I85" s="416"/>
      <c r="J85" s="414"/>
      <c r="K85" s="402"/>
      <c r="L85" s="437"/>
      <c r="M85" s="437"/>
      <c r="N85" s="380"/>
      <c r="O85" s="440"/>
      <c r="P85" s="442"/>
    </row>
    <row r="86" spans="2:16" ht="66">
      <c r="B86" s="382" t="str">
        <f>+LEFT(C86,3)</f>
        <v>8.1</v>
      </c>
      <c r="C86" s="421" t="s">
        <v>308</v>
      </c>
      <c r="D86" s="252" t="s">
        <v>265</v>
      </c>
      <c r="E86" s="333" t="s">
        <v>309</v>
      </c>
      <c r="F86" s="258">
        <v>3</v>
      </c>
      <c r="G86" s="82">
        <v>1</v>
      </c>
      <c r="H86" s="123" t="s">
        <v>284</v>
      </c>
      <c r="I86" s="236" t="s">
        <v>310</v>
      </c>
      <c r="J86" s="258">
        <v>2</v>
      </c>
      <c r="K86" s="311" t="str">
        <f t="shared" ref="K86:K110" si="9">+IF(OR(ISBLANK(F86),ISBLANK(J86)),"",IF(OR(AND(F86=1,J86=1),AND(F86=1,J86=2),AND(F86=1,J86=3)),"Deficiencia de control mayor (diseño y ejecución)",IF(OR(AND(F86=2,J86=2),AND(F86=3,J86=1),AND(F86=3,J86=2),AND(F86=2,J86=1)),"Deficiencia de control (diseño o ejecución)",IF(AND(F86=2,J86=3),"Oportunidad de mejora","Mantenimiento del control"))))</f>
        <v>Deficiencia de control (diseño o ejecución)</v>
      </c>
      <c r="L86" s="292">
        <f t="shared" ref="L86:L110" si="10">+IF(K86="",75,IF(K86="Deficiencia de control mayor (diseño y ejecución)",80,IF(K86="Deficiencia de control (diseño o ejecución)",100,IF(K86="Oportunidad de mejora",120,140))))</f>
        <v>100</v>
      </c>
      <c r="M86" s="439">
        <v>2.5457999999999998</v>
      </c>
      <c r="N86" s="379">
        <f t="shared" ref="N86:N110" si="11">+L86+M86</f>
        <v>102.5458</v>
      </c>
      <c r="O86" s="441"/>
      <c r="P86" s="443"/>
    </row>
    <row r="87" spans="2:16" ht="115.5">
      <c r="B87" s="383"/>
      <c r="C87" s="422"/>
      <c r="D87" s="253"/>
      <c r="E87" s="334"/>
      <c r="F87" s="259"/>
      <c r="G87" s="77">
        <v>2</v>
      </c>
      <c r="H87" s="135" t="s">
        <v>293</v>
      </c>
      <c r="I87" s="239"/>
      <c r="J87" s="259"/>
      <c r="K87" s="312"/>
      <c r="L87" s="292"/>
      <c r="M87" s="439"/>
      <c r="N87" s="379"/>
      <c r="O87" s="441"/>
      <c r="P87" s="443"/>
    </row>
    <row r="88" spans="2:16" ht="28.5" customHeight="1">
      <c r="B88" s="383"/>
      <c r="C88" s="422"/>
      <c r="D88" s="253"/>
      <c r="E88" s="334"/>
      <c r="F88" s="259"/>
      <c r="G88" s="77">
        <v>3</v>
      </c>
      <c r="H88" s="77"/>
      <c r="I88" s="239"/>
      <c r="J88" s="259"/>
      <c r="K88" s="312"/>
      <c r="L88" s="292"/>
      <c r="M88" s="439"/>
      <c r="N88" s="379"/>
      <c r="O88" s="441"/>
      <c r="P88" s="443"/>
    </row>
    <row r="89" spans="2:16" ht="33" customHeight="1">
      <c r="B89" s="383"/>
      <c r="C89" s="422"/>
      <c r="D89" s="253"/>
      <c r="E89" s="334"/>
      <c r="F89" s="259"/>
      <c r="G89" s="77">
        <v>4</v>
      </c>
      <c r="H89" s="77"/>
      <c r="I89" s="239"/>
      <c r="J89" s="259"/>
      <c r="K89" s="312"/>
      <c r="L89" s="292"/>
      <c r="M89" s="439"/>
      <c r="N89" s="379"/>
      <c r="O89" s="441"/>
      <c r="P89" s="443"/>
    </row>
    <row r="90" spans="2:16" ht="22.15" customHeight="1" thickBot="1">
      <c r="B90" s="383"/>
      <c r="C90" s="422"/>
      <c r="D90" s="253"/>
      <c r="E90" s="334"/>
      <c r="F90" s="259"/>
      <c r="G90" s="77">
        <v>5</v>
      </c>
      <c r="H90" s="77"/>
      <c r="I90" s="239"/>
      <c r="J90" s="259"/>
      <c r="K90" s="312"/>
      <c r="L90" s="292"/>
      <c r="M90" s="439"/>
      <c r="N90" s="379"/>
      <c r="O90" s="441"/>
      <c r="P90" s="443"/>
    </row>
    <row r="91" spans="2:16" ht="24" hidden="1" customHeight="1" thickBot="1">
      <c r="B91" s="383"/>
      <c r="C91" s="422"/>
      <c r="D91" s="253"/>
      <c r="E91" s="334"/>
      <c r="F91" s="259"/>
      <c r="G91" s="77">
        <v>6</v>
      </c>
      <c r="H91" s="77"/>
      <c r="I91" s="239"/>
      <c r="J91" s="259"/>
      <c r="K91" s="312"/>
      <c r="L91" s="292"/>
      <c r="M91" s="439"/>
      <c r="N91" s="379"/>
      <c r="O91" s="441"/>
      <c r="P91" s="443"/>
    </row>
    <row r="92" spans="2:16" ht="37.5" hidden="1" customHeight="1" thickBot="1">
      <c r="B92" s="383"/>
      <c r="C92" s="422"/>
      <c r="D92" s="253"/>
      <c r="E92" s="334"/>
      <c r="F92" s="259"/>
      <c r="G92" s="77">
        <v>7</v>
      </c>
      <c r="H92" s="77"/>
      <c r="I92" s="239"/>
      <c r="J92" s="259"/>
      <c r="K92" s="312"/>
      <c r="L92" s="292"/>
      <c r="M92" s="439"/>
      <c r="N92" s="379"/>
      <c r="O92" s="441"/>
      <c r="P92" s="443"/>
    </row>
    <row r="93" spans="2:16" ht="15" hidden="1" customHeight="1" thickBot="1">
      <c r="B93" s="384"/>
      <c r="C93" s="423"/>
      <c r="D93" s="254"/>
      <c r="E93" s="335"/>
      <c r="F93" s="260"/>
      <c r="G93" s="81">
        <v>8</v>
      </c>
      <c r="H93" s="81"/>
      <c r="I93" s="240"/>
      <c r="J93" s="260"/>
      <c r="K93" s="313"/>
      <c r="L93" s="292"/>
      <c r="M93" s="439"/>
      <c r="N93" s="379"/>
      <c r="O93" s="441"/>
      <c r="P93" s="443"/>
    </row>
    <row r="94" spans="2:16" ht="66">
      <c r="B94" s="382" t="str">
        <f>+LEFT(C94,3)</f>
        <v>8.2</v>
      </c>
      <c r="C94" s="421" t="s">
        <v>311</v>
      </c>
      <c r="D94" s="252" t="s">
        <v>312</v>
      </c>
      <c r="E94" s="333" t="s">
        <v>313</v>
      </c>
      <c r="F94" s="258">
        <v>3</v>
      </c>
      <c r="G94" s="82">
        <v>1</v>
      </c>
      <c r="H94" s="123" t="s">
        <v>284</v>
      </c>
      <c r="I94" s="236" t="s">
        <v>314</v>
      </c>
      <c r="J94" s="258">
        <v>2</v>
      </c>
      <c r="K94" s="311" t="str">
        <f t="shared" si="9"/>
        <v>Deficiencia de control (diseño o ejecución)</v>
      </c>
      <c r="L94" s="292">
        <f t="shared" si="10"/>
        <v>100</v>
      </c>
      <c r="M94" s="439">
        <v>2.6320999999999999</v>
      </c>
      <c r="N94" s="379">
        <f t="shared" si="11"/>
        <v>102.63209999999999</v>
      </c>
      <c r="O94" s="441"/>
      <c r="P94" s="443"/>
    </row>
    <row r="95" spans="2:16" ht="82.5">
      <c r="B95" s="383"/>
      <c r="C95" s="422"/>
      <c r="D95" s="253"/>
      <c r="E95" s="334"/>
      <c r="F95" s="259"/>
      <c r="G95" s="77">
        <v>2</v>
      </c>
      <c r="H95" s="124" t="s">
        <v>315</v>
      </c>
      <c r="I95" s="239"/>
      <c r="J95" s="259"/>
      <c r="K95" s="312"/>
      <c r="L95" s="292"/>
      <c r="M95" s="439"/>
      <c r="N95" s="379"/>
      <c r="O95" s="441"/>
      <c r="P95" s="443"/>
    </row>
    <row r="96" spans="2:16" ht="132">
      <c r="B96" s="383"/>
      <c r="C96" s="422"/>
      <c r="D96" s="253"/>
      <c r="E96" s="334"/>
      <c r="F96" s="259"/>
      <c r="G96" s="77">
        <v>3</v>
      </c>
      <c r="H96" s="124" t="s">
        <v>316</v>
      </c>
      <c r="I96" s="239"/>
      <c r="J96" s="259"/>
      <c r="K96" s="312"/>
      <c r="L96" s="292"/>
      <c r="M96" s="439"/>
      <c r="N96" s="379"/>
      <c r="O96" s="441"/>
      <c r="P96" s="443"/>
    </row>
    <row r="97" spans="2:16" ht="1.9" customHeight="1" thickBot="1">
      <c r="B97" s="383"/>
      <c r="C97" s="422"/>
      <c r="D97" s="253"/>
      <c r="E97" s="334"/>
      <c r="F97" s="259"/>
      <c r="G97" s="77">
        <v>4</v>
      </c>
      <c r="H97" s="77"/>
      <c r="I97" s="239"/>
      <c r="J97" s="259"/>
      <c r="K97" s="312"/>
      <c r="L97" s="292"/>
      <c r="M97" s="439"/>
      <c r="N97" s="379"/>
      <c r="O97" s="441"/>
      <c r="P97" s="443"/>
    </row>
    <row r="98" spans="2:16" ht="28.5" hidden="1" customHeight="1" thickBot="1">
      <c r="B98" s="383"/>
      <c r="C98" s="422"/>
      <c r="D98" s="253"/>
      <c r="E98" s="334"/>
      <c r="F98" s="259"/>
      <c r="G98" s="77">
        <v>5</v>
      </c>
      <c r="H98" s="77"/>
      <c r="I98" s="239"/>
      <c r="J98" s="259"/>
      <c r="K98" s="312"/>
      <c r="L98" s="292"/>
      <c r="M98" s="439"/>
      <c r="N98" s="379"/>
      <c r="O98" s="441"/>
      <c r="P98" s="443"/>
    </row>
    <row r="99" spans="2:16" ht="28.5" hidden="1" customHeight="1" thickBot="1">
      <c r="B99" s="383"/>
      <c r="C99" s="422"/>
      <c r="D99" s="253"/>
      <c r="E99" s="334"/>
      <c r="F99" s="259"/>
      <c r="G99" s="77">
        <v>6</v>
      </c>
      <c r="H99" s="77"/>
      <c r="I99" s="239"/>
      <c r="J99" s="259"/>
      <c r="K99" s="312"/>
      <c r="L99" s="292"/>
      <c r="M99" s="439"/>
      <c r="N99" s="379"/>
      <c r="O99" s="441"/>
      <c r="P99" s="443"/>
    </row>
    <row r="100" spans="2:16" ht="28.5" hidden="1" customHeight="1" thickBot="1">
      <c r="B100" s="383"/>
      <c r="C100" s="422"/>
      <c r="D100" s="253"/>
      <c r="E100" s="334"/>
      <c r="F100" s="259"/>
      <c r="G100" s="77">
        <v>7</v>
      </c>
      <c r="H100" s="77"/>
      <c r="I100" s="239"/>
      <c r="J100" s="259"/>
      <c r="K100" s="312"/>
      <c r="L100" s="292"/>
      <c r="M100" s="439"/>
      <c r="N100" s="379"/>
      <c r="O100" s="441"/>
      <c r="P100" s="443"/>
    </row>
    <row r="101" spans="2:16" ht="28.5" hidden="1" customHeight="1" thickBot="1">
      <c r="B101" s="384"/>
      <c r="C101" s="423"/>
      <c r="D101" s="254"/>
      <c r="E101" s="335"/>
      <c r="F101" s="260"/>
      <c r="G101" s="81">
        <v>8</v>
      </c>
      <c r="H101" s="81"/>
      <c r="I101" s="240"/>
      <c r="J101" s="260"/>
      <c r="K101" s="313"/>
      <c r="L101" s="292"/>
      <c r="M101" s="439"/>
      <c r="N101" s="379"/>
      <c r="O101" s="441"/>
      <c r="P101" s="443"/>
    </row>
    <row r="102" spans="2:16" ht="82.5">
      <c r="B102" s="382" t="str">
        <f>+LEFT(C102,3)</f>
        <v>8.3</v>
      </c>
      <c r="C102" s="421" t="s">
        <v>317</v>
      </c>
      <c r="D102" s="252" t="s">
        <v>318</v>
      </c>
      <c r="E102" s="344" t="s">
        <v>319</v>
      </c>
      <c r="F102" s="258">
        <v>3</v>
      </c>
      <c r="G102" s="82">
        <v>1</v>
      </c>
      <c r="H102" s="123" t="s">
        <v>320</v>
      </c>
      <c r="I102" s="444" t="s">
        <v>321</v>
      </c>
      <c r="J102" s="258">
        <v>3</v>
      </c>
      <c r="K102" s="311" t="str">
        <f t="shared" si="9"/>
        <v>Mantenimiento del control</v>
      </c>
      <c r="L102" s="292">
        <f t="shared" si="10"/>
        <v>140</v>
      </c>
      <c r="M102" s="439">
        <v>2.7456</v>
      </c>
      <c r="N102" s="379">
        <f t="shared" si="11"/>
        <v>142.7456</v>
      </c>
      <c r="O102" s="441"/>
      <c r="P102" s="443"/>
    </row>
    <row r="103" spans="2:16" ht="16.5">
      <c r="B103" s="383"/>
      <c r="C103" s="422"/>
      <c r="D103" s="253"/>
      <c r="E103" s="354"/>
      <c r="F103" s="259"/>
      <c r="G103" s="77">
        <v>2</v>
      </c>
      <c r="H103" s="124"/>
      <c r="I103" s="445"/>
      <c r="J103" s="259"/>
      <c r="K103" s="312"/>
      <c r="L103" s="292"/>
      <c r="M103" s="439"/>
      <c r="N103" s="379"/>
      <c r="O103" s="441"/>
      <c r="P103" s="443"/>
    </row>
    <row r="104" spans="2:16" ht="28.5" customHeight="1">
      <c r="B104" s="383"/>
      <c r="C104" s="422"/>
      <c r="D104" s="253"/>
      <c r="E104" s="354"/>
      <c r="F104" s="259"/>
      <c r="G104" s="77">
        <v>3</v>
      </c>
      <c r="H104" s="77"/>
      <c r="I104" s="445"/>
      <c r="J104" s="259"/>
      <c r="K104" s="312"/>
      <c r="L104" s="292"/>
      <c r="M104" s="439"/>
      <c r="N104" s="379"/>
      <c r="O104" s="441"/>
      <c r="P104" s="443"/>
    </row>
    <row r="105" spans="2:16" ht="28.5" customHeight="1">
      <c r="B105" s="383"/>
      <c r="C105" s="422"/>
      <c r="D105" s="253"/>
      <c r="E105" s="354"/>
      <c r="F105" s="259"/>
      <c r="G105" s="77">
        <v>4</v>
      </c>
      <c r="H105" s="77"/>
      <c r="I105" s="445"/>
      <c r="J105" s="259"/>
      <c r="K105" s="312"/>
      <c r="L105" s="292"/>
      <c r="M105" s="439"/>
      <c r="N105" s="379"/>
      <c r="O105" s="441"/>
      <c r="P105" s="443"/>
    </row>
    <row r="106" spans="2:16" ht="28.5" customHeight="1">
      <c r="B106" s="383"/>
      <c r="C106" s="422"/>
      <c r="D106" s="253"/>
      <c r="E106" s="354"/>
      <c r="F106" s="259"/>
      <c r="G106" s="77">
        <v>5</v>
      </c>
      <c r="H106" s="77"/>
      <c r="I106" s="445"/>
      <c r="J106" s="259"/>
      <c r="K106" s="312"/>
      <c r="L106" s="292"/>
      <c r="M106" s="439"/>
      <c r="N106" s="379"/>
      <c r="O106" s="441"/>
      <c r="P106" s="443"/>
    </row>
    <row r="107" spans="2:16" ht="28.5" customHeight="1">
      <c r="B107" s="383"/>
      <c r="C107" s="422"/>
      <c r="D107" s="253"/>
      <c r="E107" s="354"/>
      <c r="F107" s="259"/>
      <c r="G107" s="77">
        <v>6</v>
      </c>
      <c r="H107" s="77"/>
      <c r="I107" s="445"/>
      <c r="J107" s="259"/>
      <c r="K107" s="312"/>
      <c r="L107" s="292"/>
      <c r="M107" s="439"/>
      <c r="N107" s="379"/>
      <c r="O107" s="441"/>
      <c r="P107" s="443"/>
    </row>
    <row r="108" spans="2:16" ht="28.5" customHeight="1">
      <c r="B108" s="383"/>
      <c r="C108" s="422"/>
      <c r="D108" s="253"/>
      <c r="E108" s="354"/>
      <c r="F108" s="259"/>
      <c r="G108" s="77">
        <v>7</v>
      </c>
      <c r="H108" s="77"/>
      <c r="I108" s="445"/>
      <c r="J108" s="259"/>
      <c r="K108" s="312"/>
      <c r="L108" s="292"/>
      <c r="M108" s="439"/>
      <c r="N108" s="379"/>
      <c r="O108" s="441"/>
      <c r="P108" s="443"/>
    </row>
    <row r="109" spans="2:16" ht="30.4" customHeight="1" thickBot="1">
      <c r="B109" s="384"/>
      <c r="C109" s="423"/>
      <c r="D109" s="254"/>
      <c r="E109" s="355"/>
      <c r="F109" s="260"/>
      <c r="G109" s="81">
        <v>8</v>
      </c>
      <c r="H109" s="81"/>
      <c r="I109" s="446"/>
      <c r="J109" s="260"/>
      <c r="K109" s="313"/>
      <c r="L109" s="292"/>
      <c r="M109" s="439"/>
      <c r="N109" s="379"/>
      <c r="O109" s="441"/>
      <c r="P109" s="443"/>
    </row>
    <row r="110" spans="2:16" ht="43.15" customHeight="1">
      <c r="B110" s="382" t="str">
        <f>+LEFT(C110,3)</f>
        <v>8.4</v>
      </c>
      <c r="C110" s="421" t="s">
        <v>322</v>
      </c>
      <c r="D110" s="252" t="s">
        <v>312</v>
      </c>
      <c r="E110" s="333" t="s">
        <v>323</v>
      </c>
      <c r="F110" s="258">
        <v>3</v>
      </c>
      <c r="G110" s="82">
        <v>1</v>
      </c>
      <c r="H110" s="123" t="s">
        <v>284</v>
      </c>
      <c r="I110" s="236" t="s">
        <v>324</v>
      </c>
      <c r="J110" s="258">
        <v>3</v>
      </c>
      <c r="K110" s="311" t="str">
        <f t="shared" si="9"/>
        <v>Mantenimiento del control</v>
      </c>
      <c r="L110" s="292">
        <f t="shared" si="10"/>
        <v>140</v>
      </c>
      <c r="M110" s="439">
        <v>2.8744999999999998</v>
      </c>
      <c r="N110" s="379">
        <f t="shared" si="11"/>
        <v>142.87450000000001</v>
      </c>
      <c r="O110" s="441"/>
      <c r="P110" s="443"/>
    </row>
    <row r="111" spans="2:16" ht="132">
      <c r="B111" s="383"/>
      <c r="C111" s="422"/>
      <c r="D111" s="253"/>
      <c r="E111" s="334"/>
      <c r="F111" s="259"/>
      <c r="G111" s="77">
        <v>2</v>
      </c>
      <c r="H111" s="124" t="s">
        <v>325</v>
      </c>
      <c r="I111" s="239"/>
      <c r="J111" s="259"/>
      <c r="K111" s="312"/>
      <c r="L111" s="292"/>
      <c r="M111" s="439"/>
      <c r="N111" s="379"/>
      <c r="O111" s="441"/>
      <c r="P111" s="443"/>
    </row>
    <row r="112" spans="2:16" ht="89.65" customHeight="1">
      <c r="B112" s="383"/>
      <c r="C112" s="422"/>
      <c r="D112" s="253"/>
      <c r="E112" s="334"/>
      <c r="F112" s="259"/>
      <c r="G112" s="77">
        <v>3</v>
      </c>
      <c r="H112" s="124" t="s">
        <v>326</v>
      </c>
      <c r="I112" s="239"/>
      <c r="J112" s="259"/>
      <c r="K112" s="312"/>
      <c r="L112" s="292"/>
      <c r="M112" s="439"/>
      <c r="N112" s="379"/>
      <c r="O112" s="441"/>
      <c r="P112" s="443"/>
    </row>
    <row r="113" spans="2:16" ht="30" hidden="1" customHeight="1">
      <c r="B113" s="383"/>
      <c r="C113" s="422"/>
      <c r="D113" s="253"/>
      <c r="E113" s="334"/>
      <c r="F113" s="259"/>
      <c r="G113" s="77">
        <v>4</v>
      </c>
      <c r="H113" s="77"/>
      <c r="I113" s="239"/>
      <c r="J113" s="259"/>
      <c r="K113" s="312"/>
      <c r="L113" s="292"/>
      <c r="M113" s="439"/>
      <c r="N113" s="379"/>
      <c r="O113" s="441"/>
      <c r="P113" s="443"/>
    </row>
    <row r="114" spans="2:16" ht="0.4" hidden="1" customHeight="1">
      <c r="B114" s="383"/>
      <c r="C114" s="422"/>
      <c r="D114" s="253"/>
      <c r="E114" s="334"/>
      <c r="F114" s="259"/>
      <c r="G114" s="77">
        <v>5</v>
      </c>
      <c r="H114" s="77"/>
      <c r="I114" s="239"/>
      <c r="J114" s="259"/>
      <c r="K114" s="312"/>
      <c r="L114" s="292"/>
      <c r="M114" s="439"/>
      <c r="N114" s="379"/>
      <c r="O114" s="441"/>
      <c r="P114" s="443"/>
    </row>
    <row r="115" spans="2:16" ht="30" hidden="1" customHeight="1">
      <c r="B115" s="383"/>
      <c r="C115" s="422"/>
      <c r="D115" s="253"/>
      <c r="E115" s="334"/>
      <c r="F115" s="259"/>
      <c r="G115" s="77">
        <v>6</v>
      </c>
      <c r="H115" s="77"/>
      <c r="I115" s="239"/>
      <c r="J115" s="259"/>
      <c r="K115" s="312"/>
      <c r="L115" s="292"/>
      <c r="M115" s="439"/>
      <c r="N115" s="379"/>
      <c r="O115" s="441"/>
      <c r="P115" s="443"/>
    </row>
    <row r="116" spans="2:16" ht="30" hidden="1" customHeight="1">
      <c r="B116" s="383"/>
      <c r="C116" s="422"/>
      <c r="D116" s="253"/>
      <c r="E116" s="334"/>
      <c r="F116" s="259"/>
      <c r="G116" s="77">
        <v>7</v>
      </c>
      <c r="H116" s="77"/>
      <c r="I116" s="239"/>
      <c r="J116" s="259"/>
      <c r="K116" s="312"/>
      <c r="L116" s="292"/>
      <c r="M116" s="439"/>
      <c r="N116" s="379"/>
      <c r="O116" s="441"/>
      <c r="P116" s="443"/>
    </row>
    <row r="117" spans="2:16" ht="4.5" customHeight="1" thickBot="1">
      <c r="B117" s="384"/>
      <c r="C117" s="423"/>
      <c r="D117" s="254"/>
      <c r="E117" s="335"/>
      <c r="F117" s="260"/>
      <c r="G117" s="81">
        <v>8</v>
      </c>
      <c r="H117" s="81"/>
      <c r="I117" s="240"/>
      <c r="J117" s="260"/>
      <c r="K117" s="313"/>
      <c r="L117" s="292"/>
      <c r="M117" s="439"/>
      <c r="N117" s="379"/>
      <c r="O117" s="441"/>
      <c r="P117" s="443"/>
    </row>
    <row r="118" spans="2:16" ht="22.5" customHeight="1">
      <c r="B118" s="386"/>
      <c r="C118" s="386" t="s">
        <v>327</v>
      </c>
      <c r="D118" s="405" t="s">
        <v>8</v>
      </c>
      <c r="E118" s="415" t="s">
        <v>261</v>
      </c>
      <c r="F118" s="413" t="s">
        <v>262</v>
      </c>
      <c r="G118" s="419" t="s">
        <v>116</v>
      </c>
      <c r="H118" s="420"/>
      <c r="I118" s="420"/>
      <c r="J118" s="413" t="s">
        <v>263</v>
      </c>
      <c r="K118" s="401" t="s">
        <v>161</v>
      </c>
      <c r="L118" s="437"/>
      <c r="M118" s="437"/>
      <c r="N118" s="380"/>
      <c r="O118" s="440"/>
      <c r="P118" s="442"/>
    </row>
    <row r="119" spans="2:16" ht="22.5" customHeight="1">
      <c r="B119" s="386"/>
      <c r="C119" s="386"/>
      <c r="D119" s="407"/>
      <c r="E119" s="430"/>
      <c r="F119" s="413"/>
      <c r="G119" s="417" t="s">
        <v>13</v>
      </c>
      <c r="H119" s="415" t="s">
        <v>15</v>
      </c>
      <c r="I119" s="415" t="s">
        <v>17</v>
      </c>
      <c r="J119" s="413"/>
      <c r="K119" s="401"/>
      <c r="L119" s="437"/>
      <c r="M119" s="437"/>
      <c r="N119" s="380"/>
      <c r="O119" s="440"/>
      <c r="P119" s="442"/>
    </row>
    <row r="120" spans="2:16" ht="78.75" customHeight="1" thickBot="1">
      <c r="B120" s="387"/>
      <c r="C120" s="387"/>
      <c r="D120" s="408"/>
      <c r="E120" s="431"/>
      <c r="F120" s="414"/>
      <c r="G120" s="418"/>
      <c r="H120" s="416"/>
      <c r="I120" s="416"/>
      <c r="J120" s="414"/>
      <c r="K120" s="402"/>
      <c r="L120" s="437"/>
      <c r="M120" s="437"/>
      <c r="N120" s="380"/>
      <c r="O120" s="440"/>
      <c r="P120" s="442"/>
    </row>
    <row r="121" spans="2:16" ht="16.5">
      <c r="B121" s="382" t="str">
        <f>+LEFT(C121,3)</f>
        <v>9.1</v>
      </c>
      <c r="C121" s="421" t="s">
        <v>328</v>
      </c>
      <c r="D121" s="252" t="s">
        <v>329</v>
      </c>
      <c r="E121" s="236" t="s">
        <v>330</v>
      </c>
      <c r="F121" s="258">
        <v>3</v>
      </c>
      <c r="G121" s="82">
        <v>1</v>
      </c>
      <c r="H121" s="123"/>
      <c r="I121" s="236" t="s">
        <v>331</v>
      </c>
      <c r="J121" s="258">
        <v>3</v>
      </c>
      <c r="K121" s="311" t="str">
        <f t="shared" ref="K121:K153" si="12">+IF(OR(ISBLANK(F121),ISBLANK(J121)),"",IF(OR(AND(F121=1,J121=1),AND(F121=1,J121=2),AND(F121=1,J121=3)),"Deficiencia de control mayor (diseño y ejecución)",IF(OR(AND(F121=2,J121=2),AND(F121=3,J121=1),AND(F121=3,J121=2),AND(F121=2,J121=1)),"Deficiencia de control (diseño o ejecución)",IF(AND(F121=2,J121=3),"Oportunidad de mejora","Mantenimiento del control"))))</f>
        <v>Mantenimiento del control</v>
      </c>
      <c r="L121" s="292">
        <f t="shared" ref="L121:L153" si="13">+IF(K121="",75,IF(K121="Deficiencia de control mayor (diseño y ejecución)",80,IF(K121="Deficiencia de control (diseño o ejecución)",100,IF(K121="Oportunidad de mejora",120,140))))</f>
        <v>140</v>
      </c>
      <c r="M121" s="439">
        <v>2.9634999999999998</v>
      </c>
      <c r="N121" s="379">
        <f t="shared" ref="N121:N153" si="14">+L121+M121</f>
        <v>142.96350000000001</v>
      </c>
      <c r="O121" s="441"/>
      <c r="P121" s="443"/>
    </row>
    <row r="122" spans="2:16" ht="99">
      <c r="B122" s="383"/>
      <c r="C122" s="422"/>
      <c r="D122" s="253"/>
      <c r="E122" s="239"/>
      <c r="F122" s="259"/>
      <c r="G122" s="77">
        <v>2</v>
      </c>
      <c r="H122" s="124" t="s">
        <v>332</v>
      </c>
      <c r="I122" s="239"/>
      <c r="J122" s="259"/>
      <c r="K122" s="312"/>
      <c r="L122" s="292"/>
      <c r="M122" s="439"/>
      <c r="N122" s="379"/>
      <c r="O122" s="441"/>
      <c r="P122" s="443"/>
    </row>
    <row r="123" spans="2:16" ht="1.1499999999999999" customHeight="1">
      <c r="B123" s="383"/>
      <c r="C123" s="422"/>
      <c r="D123" s="253"/>
      <c r="E123" s="239"/>
      <c r="F123" s="259"/>
      <c r="G123" s="77">
        <v>3</v>
      </c>
      <c r="H123" s="77"/>
      <c r="I123" s="239"/>
      <c r="J123" s="259"/>
      <c r="K123" s="312"/>
      <c r="L123" s="292"/>
      <c r="M123" s="439"/>
      <c r="N123" s="379"/>
      <c r="O123" s="441"/>
      <c r="P123" s="443"/>
    </row>
    <row r="124" spans="2:16" ht="1.9" hidden="1" customHeight="1" thickBot="1">
      <c r="B124" s="383"/>
      <c r="C124" s="422"/>
      <c r="D124" s="253"/>
      <c r="E124" s="239"/>
      <c r="F124" s="259"/>
      <c r="G124" s="77">
        <v>4</v>
      </c>
      <c r="H124" s="77"/>
      <c r="I124" s="239"/>
      <c r="J124" s="259"/>
      <c r="K124" s="312"/>
      <c r="L124" s="292"/>
      <c r="M124" s="439"/>
      <c r="N124" s="379"/>
      <c r="O124" s="441"/>
      <c r="P124" s="443"/>
    </row>
    <row r="125" spans="2:16" ht="17.25" hidden="1" thickBot="1">
      <c r="B125" s="383"/>
      <c r="C125" s="422"/>
      <c r="D125" s="253"/>
      <c r="E125" s="239"/>
      <c r="F125" s="259"/>
      <c r="G125" s="77">
        <v>5</v>
      </c>
      <c r="H125" s="77"/>
      <c r="I125" s="239"/>
      <c r="J125" s="259"/>
      <c r="K125" s="312"/>
      <c r="L125" s="292"/>
      <c r="M125" s="439"/>
      <c r="N125" s="379"/>
      <c r="O125" s="441"/>
      <c r="P125" s="443"/>
    </row>
    <row r="126" spans="2:16" ht="17.25" hidden="1" thickBot="1">
      <c r="B126" s="383"/>
      <c r="C126" s="422"/>
      <c r="D126" s="253"/>
      <c r="E126" s="239"/>
      <c r="F126" s="259"/>
      <c r="G126" s="77">
        <v>6</v>
      </c>
      <c r="H126" s="77"/>
      <c r="I126" s="239"/>
      <c r="J126" s="259"/>
      <c r="K126" s="312"/>
      <c r="L126" s="292"/>
      <c r="M126" s="439"/>
      <c r="N126" s="379"/>
      <c r="O126" s="441"/>
      <c r="P126" s="443"/>
    </row>
    <row r="127" spans="2:16" ht="17.25" hidden="1" thickBot="1">
      <c r="B127" s="383"/>
      <c r="C127" s="422"/>
      <c r="D127" s="253"/>
      <c r="E127" s="239"/>
      <c r="F127" s="259"/>
      <c r="G127" s="77">
        <v>7</v>
      </c>
      <c r="H127" s="77"/>
      <c r="I127" s="239"/>
      <c r="J127" s="259"/>
      <c r="K127" s="312"/>
      <c r="L127" s="292"/>
      <c r="M127" s="439"/>
      <c r="N127" s="379"/>
      <c r="O127" s="441"/>
      <c r="P127" s="443"/>
    </row>
    <row r="128" spans="2:16" ht="99.75" thickBot="1">
      <c r="B128" s="384"/>
      <c r="C128" s="423"/>
      <c r="D128" s="254"/>
      <c r="E128" s="240"/>
      <c r="F128" s="260"/>
      <c r="G128" s="81">
        <v>8</v>
      </c>
      <c r="H128" s="133" t="s">
        <v>333</v>
      </c>
      <c r="I128" s="240"/>
      <c r="J128" s="260"/>
      <c r="K128" s="313"/>
      <c r="L128" s="292"/>
      <c r="M128" s="439"/>
      <c r="N128" s="379"/>
      <c r="O128" s="441"/>
      <c r="P128" s="443"/>
    </row>
    <row r="129" spans="2:16" ht="22.5" customHeight="1">
      <c r="B129" s="382" t="str">
        <f>+LEFT(C129,3)</f>
        <v>9.2</v>
      </c>
      <c r="C129" s="409" t="s">
        <v>334</v>
      </c>
      <c r="D129" s="252" t="s">
        <v>335</v>
      </c>
      <c r="E129" s="333" t="s">
        <v>336</v>
      </c>
      <c r="F129" s="258">
        <v>3</v>
      </c>
      <c r="G129" s="82">
        <v>1</v>
      </c>
      <c r="H129" s="82"/>
      <c r="I129" s="424"/>
      <c r="J129" s="258">
        <v>3</v>
      </c>
      <c r="K129" s="311" t="str">
        <f t="shared" si="12"/>
        <v>Mantenimiento del control</v>
      </c>
      <c r="L129" s="292">
        <f t="shared" si="13"/>
        <v>140</v>
      </c>
      <c r="M129" s="439">
        <v>3.0125000000000002</v>
      </c>
      <c r="N129" s="379">
        <f t="shared" si="14"/>
        <v>143.01249999999999</v>
      </c>
      <c r="O129" s="441"/>
      <c r="P129" s="443"/>
    </row>
    <row r="130" spans="2:16" ht="22.5" customHeight="1">
      <c r="B130" s="383"/>
      <c r="C130" s="410"/>
      <c r="D130" s="253"/>
      <c r="E130" s="334"/>
      <c r="F130" s="259"/>
      <c r="G130" s="77">
        <v>2</v>
      </c>
      <c r="H130" s="77"/>
      <c r="I130" s="425"/>
      <c r="J130" s="259"/>
      <c r="K130" s="312"/>
      <c r="L130" s="292"/>
      <c r="M130" s="439"/>
      <c r="N130" s="379"/>
      <c r="O130" s="441"/>
      <c r="P130" s="443"/>
    </row>
    <row r="131" spans="2:16" ht="22.5" customHeight="1">
      <c r="B131" s="383"/>
      <c r="C131" s="410"/>
      <c r="D131" s="253"/>
      <c r="E131" s="334"/>
      <c r="F131" s="259"/>
      <c r="G131" s="77">
        <v>3</v>
      </c>
      <c r="H131" s="77"/>
      <c r="I131" s="425"/>
      <c r="J131" s="259"/>
      <c r="K131" s="312"/>
      <c r="L131" s="292"/>
      <c r="M131" s="439"/>
      <c r="N131" s="379"/>
      <c r="O131" s="441"/>
      <c r="P131" s="443"/>
    </row>
    <row r="132" spans="2:16" ht="22.5" customHeight="1">
      <c r="B132" s="383"/>
      <c r="C132" s="410"/>
      <c r="D132" s="253"/>
      <c r="E132" s="334"/>
      <c r="F132" s="259"/>
      <c r="G132" s="77">
        <v>4</v>
      </c>
      <c r="H132" s="77"/>
      <c r="I132" s="425"/>
      <c r="J132" s="259"/>
      <c r="K132" s="312"/>
      <c r="L132" s="292"/>
      <c r="M132" s="439"/>
      <c r="N132" s="379"/>
      <c r="O132" s="441"/>
      <c r="P132" s="443"/>
    </row>
    <row r="133" spans="2:16" ht="22.5" customHeight="1">
      <c r="B133" s="383"/>
      <c r="C133" s="410"/>
      <c r="D133" s="253"/>
      <c r="E133" s="334"/>
      <c r="F133" s="259"/>
      <c r="G133" s="77">
        <v>5</v>
      </c>
      <c r="H133" s="77"/>
      <c r="I133" s="425"/>
      <c r="J133" s="259"/>
      <c r="K133" s="312"/>
      <c r="L133" s="292"/>
      <c r="M133" s="439"/>
      <c r="N133" s="379"/>
      <c r="O133" s="441"/>
      <c r="P133" s="443"/>
    </row>
    <row r="134" spans="2:16" ht="22.5" customHeight="1">
      <c r="B134" s="383"/>
      <c r="C134" s="410"/>
      <c r="D134" s="253"/>
      <c r="E134" s="334"/>
      <c r="F134" s="259"/>
      <c r="G134" s="77">
        <v>6</v>
      </c>
      <c r="H134" s="77"/>
      <c r="I134" s="425"/>
      <c r="J134" s="259"/>
      <c r="K134" s="312"/>
      <c r="L134" s="292"/>
      <c r="M134" s="439"/>
      <c r="N134" s="379"/>
      <c r="O134" s="441"/>
      <c r="P134" s="443"/>
    </row>
    <row r="135" spans="2:16" ht="22.5" customHeight="1">
      <c r="B135" s="383"/>
      <c r="C135" s="410"/>
      <c r="D135" s="253"/>
      <c r="E135" s="334"/>
      <c r="F135" s="259"/>
      <c r="G135" s="77">
        <v>7</v>
      </c>
      <c r="H135" s="77"/>
      <c r="I135" s="425"/>
      <c r="J135" s="259"/>
      <c r="K135" s="312"/>
      <c r="L135" s="292"/>
      <c r="M135" s="439"/>
      <c r="N135" s="379"/>
      <c r="O135" s="441"/>
      <c r="P135" s="443"/>
    </row>
    <row r="136" spans="2:16" ht="22.5" customHeight="1" thickBot="1">
      <c r="B136" s="384"/>
      <c r="C136" s="411"/>
      <c r="D136" s="254"/>
      <c r="E136" s="335"/>
      <c r="F136" s="260"/>
      <c r="G136" s="81">
        <v>8</v>
      </c>
      <c r="H136" s="81"/>
      <c r="I136" s="426"/>
      <c r="J136" s="260"/>
      <c r="K136" s="313"/>
      <c r="L136" s="292"/>
      <c r="M136" s="439"/>
      <c r="N136" s="379"/>
      <c r="O136" s="441"/>
      <c r="P136" s="443"/>
    </row>
    <row r="137" spans="2:16" ht="66">
      <c r="B137" s="382" t="str">
        <f>+LEFT(C137,3)</f>
        <v>9.3</v>
      </c>
      <c r="C137" s="409" t="s">
        <v>337</v>
      </c>
      <c r="D137" s="412" t="s">
        <v>312</v>
      </c>
      <c r="E137" s="333" t="s">
        <v>338</v>
      </c>
      <c r="F137" s="258">
        <v>3</v>
      </c>
      <c r="G137" s="82">
        <v>1</v>
      </c>
      <c r="H137" s="123" t="s">
        <v>284</v>
      </c>
      <c r="I137" s="236" t="s">
        <v>339</v>
      </c>
      <c r="J137" s="258">
        <v>2</v>
      </c>
      <c r="K137" s="311" t="str">
        <f t="shared" si="12"/>
        <v>Deficiencia de control (diseño o ejecución)</v>
      </c>
      <c r="L137" s="292">
        <f t="shared" si="13"/>
        <v>100</v>
      </c>
      <c r="M137" s="439">
        <v>3.1236000000000002</v>
      </c>
      <c r="N137" s="379">
        <f t="shared" si="14"/>
        <v>103.1236</v>
      </c>
      <c r="O137" s="441"/>
      <c r="P137" s="443"/>
    </row>
    <row r="138" spans="2:16" ht="99">
      <c r="B138" s="383"/>
      <c r="C138" s="410"/>
      <c r="D138" s="253"/>
      <c r="E138" s="341"/>
      <c r="F138" s="259"/>
      <c r="G138" s="77">
        <v>2</v>
      </c>
      <c r="H138" s="124" t="s">
        <v>340</v>
      </c>
      <c r="I138" s="239"/>
      <c r="J138" s="259"/>
      <c r="K138" s="312"/>
      <c r="L138" s="292"/>
      <c r="M138" s="439"/>
      <c r="N138" s="379"/>
      <c r="O138" s="441"/>
      <c r="P138" s="443"/>
    </row>
    <row r="139" spans="2:16" ht="132.75" thickBot="1">
      <c r="B139" s="383"/>
      <c r="C139" s="410"/>
      <c r="D139" s="253"/>
      <c r="E139" s="341"/>
      <c r="F139" s="259"/>
      <c r="G139" s="77">
        <v>3</v>
      </c>
      <c r="H139" s="124" t="s">
        <v>341</v>
      </c>
      <c r="I139" s="239"/>
      <c r="J139" s="259"/>
      <c r="K139" s="312"/>
      <c r="L139" s="292"/>
      <c r="M139" s="439"/>
      <c r="N139" s="379"/>
      <c r="O139" s="441"/>
      <c r="P139" s="443"/>
    </row>
    <row r="140" spans="2:16" ht="0.4" customHeight="1" thickBot="1">
      <c r="B140" s="383"/>
      <c r="C140" s="410"/>
      <c r="D140" s="253"/>
      <c r="E140" s="341"/>
      <c r="F140" s="259"/>
      <c r="G140" s="77">
        <v>4</v>
      </c>
      <c r="H140" s="77"/>
      <c r="I140" s="239"/>
      <c r="J140" s="259"/>
      <c r="K140" s="312"/>
      <c r="L140" s="292"/>
      <c r="M140" s="439"/>
      <c r="N140" s="379"/>
      <c r="O140" s="441"/>
      <c r="P140" s="443"/>
    </row>
    <row r="141" spans="2:16" ht="22.5" hidden="1" customHeight="1" thickBot="1">
      <c r="B141" s="383"/>
      <c r="C141" s="410"/>
      <c r="D141" s="253"/>
      <c r="E141" s="341"/>
      <c r="F141" s="259"/>
      <c r="G141" s="77">
        <v>5</v>
      </c>
      <c r="H141" s="77"/>
      <c r="I141" s="239"/>
      <c r="J141" s="259"/>
      <c r="K141" s="312"/>
      <c r="L141" s="292"/>
      <c r="M141" s="439"/>
      <c r="N141" s="379"/>
      <c r="O141" s="441"/>
      <c r="P141" s="443"/>
    </row>
    <row r="142" spans="2:16" ht="22.5" hidden="1" customHeight="1" thickBot="1">
      <c r="B142" s="383"/>
      <c r="C142" s="410"/>
      <c r="D142" s="253"/>
      <c r="E142" s="341"/>
      <c r="F142" s="259"/>
      <c r="G142" s="77">
        <v>6</v>
      </c>
      <c r="H142" s="77"/>
      <c r="I142" s="239"/>
      <c r="J142" s="259"/>
      <c r="K142" s="312"/>
      <c r="L142" s="292"/>
      <c r="M142" s="439"/>
      <c r="N142" s="379"/>
      <c r="O142" s="441"/>
      <c r="P142" s="443"/>
    </row>
    <row r="143" spans="2:16" ht="22.5" hidden="1" customHeight="1" thickBot="1">
      <c r="B143" s="383"/>
      <c r="C143" s="410"/>
      <c r="D143" s="253"/>
      <c r="E143" s="341"/>
      <c r="F143" s="259"/>
      <c r="G143" s="77">
        <v>7</v>
      </c>
      <c r="H143" s="77"/>
      <c r="I143" s="239"/>
      <c r="J143" s="259"/>
      <c r="K143" s="312"/>
      <c r="L143" s="292"/>
      <c r="M143" s="439"/>
      <c r="N143" s="379"/>
      <c r="O143" s="441"/>
      <c r="P143" s="443"/>
    </row>
    <row r="144" spans="2:16" ht="22.5" hidden="1" customHeight="1" thickBot="1">
      <c r="B144" s="384"/>
      <c r="C144" s="411"/>
      <c r="D144" s="254"/>
      <c r="E144" s="342"/>
      <c r="F144" s="260"/>
      <c r="G144" s="81">
        <v>8</v>
      </c>
      <c r="H144" s="81"/>
      <c r="I144" s="240"/>
      <c r="J144" s="260"/>
      <c r="K144" s="313"/>
      <c r="L144" s="292"/>
      <c r="M144" s="439"/>
      <c r="N144" s="379"/>
      <c r="O144" s="441"/>
      <c r="P144" s="443"/>
    </row>
    <row r="145" spans="2:16" ht="66">
      <c r="B145" s="382" t="str">
        <f>+LEFT(C145,3)</f>
        <v>9.4</v>
      </c>
      <c r="C145" s="409" t="s">
        <v>342</v>
      </c>
      <c r="D145" s="412" t="s">
        <v>335</v>
      </c>
      <c r="E145" s="333" t="s">
        <v>343</v>
      </c>
      <c r="F145" s="258">
        <v>3</v>
      </c>
      <c r="G145" s="82">
        <v>1</v>
      </c>
      <c r="H145" s="123" t="s">
        <v>284</v>
      </c>
      <c r="I145" s="236" t="s">
        <v>344</v>
      </c>
      <c r="J145" s="258">
        <v>3</v>
      </c>
      <c r="K145" s="311" t="str">
        <f t="shared" si="12"/>
        <v>Mantenimiento del control</v>
      </c>
      <c r="L145" s="292">
        <f t="shared" si="13"/>
        <v>140</v>
      </c>
      <c r="M145" s="439">
        <v>3.2456</v>
      </c>
      <c r="N145" s="379">
        <f t="shared" si="14"/>
        <v>143.2456</v>
      </c>
      <c r="O145" s="441"/>
      <c r="P145" s="443"/>
    </row>
    <row r="146" spans="2:16" ht="115.5">
      <c r="B146" s="383"/>
      <c r="C146" s="410"/>
      <c r="D146" s="253"/>
      <c r="E146" s="334"/>
      <c r="F146" s="259"/>
      <c r="G146" s="77">
        <v>2</v>
      </c>
      <c r="H146" s="124" t="s">
        <v>345</v>
      </c>
      <c r="I146" s="239"/>
      <c r="J146" s="259"/>
      <c r="K146" s="312"/>
      <c r="L146" s="292"/>
      <c r="M146" s="439"/>
      <c r="N146" s="379"/>
      <c r="O146" s="441"/>
      <c r="P146" s="443"/>
    </row>
    <row r="147" spans="2:16" ht="116.25" thickBot="1">
      <c r="B147" s="383"/>
      <c r="C147" s="410"/>
      <c r="D147" s="253"/>
      <c r="E147" s="334"/>
      <c r="F147" s="259"/>
      <c r="G147" s="77">
        <v>3</v>
      </c>
      <c r="H147" s="124" t="s">
        <v>346</v>
      </c>
      <c r="I147" s="239"/>
      <c r="J147" s="259"/>
      <c r="K147" s="312"/>
      <c r="L147" s="292"/>
      <c r="M147" s="439"/>
      <c r="N147" s="379"/>
      <c r="O147" s="441"/>
      <c r="P147" s="443"/>
    </row>
    <row r="148" spans="2:16" ht="0.4" customHeight="1" thickBot="1">
      <c r="B148" s="383"/>
      <c r="C148" s="410"/>
      <c r="D148" s="253"/>
      <c r="E148" s="334"/>
      <c r="F148" s="259"/>
      <c r="G148" s="77">
        <v>4</v>
      </c>
      <c r="H148" s="77"/>
      <c r="I148" s="239"/>
      <c r="J148" s="259"/>
      <c r="K148" s="312"/>
      <c r="L148" s="292"/>
      <c r="M148" s="439"/>
      <c r="N148" s="379"/>
      <c r="O148" s="441"/>
      <c r="P148" s="443"/>
    </row>
    <row r="149" spans="2:16" ht="0.4" hidden="1" customHeight="1" thickBot="1">
      <c r="B149" s="383"/>
      <c r="C149" s="410"/>
      <c r="D149" s="253"/>
      <c r="E149" s="334"/>
      <c r="F149" s="259"/>
      <c r="G149" s="77">
        <v>5</v>
      </c>
      <c r="H149" s="77"/>
      <c r="I149" s="239"/>
      <c r="J149" s="259"/>
      <c r="K149" s="312"/>
      <c r="L149" s="292"/>
      <c r="M149" s="439"/>
      <c r="N149" s="379"/>
      <c r="O149" s="441"/>
      <c r="P149" s="443"/>
    </row>
    <row r="150" spans="2:16" ht="22.5" hidden="1" customHeight="1" thickBot="1">
      <c r="B150" s="383"/>
      <c r="C150" s="410"/>
      <c r="D150" s="253"/>
      <c r="E150" s="334"/>
      <c r="F150" s="259"/>
      <c r="G150" s="77">
        <v>6</v>
      </c>
      <c r="H150" s="77"/>
      <c r="I150" s="239"/>
      <c r="J150" s="259"/>
      <c r="K150" s="312"/>
      <c r="L150" s="292"/>
      <c r="M150" s="439"/>
      <c r="N150" s="379"/>
      <c r="O150" s="441"/>
      <c r="P150" s="443"/>
    </row>
    <row r="151" spans="2:16" ht="22.5" hidden="1" customHeight="1" thickBot="1">
      <c r="B151" s="383"/>
      <c r="C151" s="410"/>
      <c r="D151" s="253"/>
      <c r="E151" s="334"/>
      <c r="F151" s="259"/>
      <c r="G151" s="77">
        <v>7</v>
      </c>
      <c r="H151" s="77"/>
      <c r="I151" s="239"/>
      <c r="J151" s="259"/>
      <c r="K151" s="312"/>
      <c r="L151" s="292"/>
      <c r="M151" s="439"/>
      <c r="N151" s="379"/>
      <c r="O151" s="441"/>
      <c r="P151" s="443"/>
    </row>
    <row r="152" spans="2:16" ht="22.5" hidden="1" customHeight="1" thickBot="1">
      <c r="B152" s="384"/>
      <c r="C152" s="411"/>
      <c r="D152" s="254"/>
      <c r="E152" s="335"/>
      <c r="F152" s="260"/>
      <c r="G152" s="81">
        <v>8</v>
      </c>
      <c r="H152" s="81"/>
      <c r="I152" s="240"/>
      <c r="J152" s="260"/>
      <c r="K152" s="313"/>
      <c r="L152" s="292"/>
      <c r="M152" s="439"/>
      <c r="N152" s="379"/>
      <c r="O152" s="441"/>
      <c r="P152" s="443"/>
    </row>
    <row r="153" spans="2:16" ht="42" customHeight="1">
      <c r="B153" s="382" t="str">
        <f>+LEFT(C153,3)</f>
        <v>9.5</v>
      </c>
      <c r="C153" s="409" t="s">
        <v>347</v>
      </c>
      <c r="D153" s="412" t="s">
        <v>348</v>
      </c>
      <c r="E153" s="333" t="s">
        <v>349</v>
      </c>
      <c r="F153" s="258">
        <v>3</v>
      </c>
      <c r="G153" s="82">
        <v>1</v>
      </c>
      <c r="H153" s="123" t="s">
        <v>284</v>
      </c>
      <c r="I153" s="236" t="s">
        <v>350</v>
      </c>
      <c r="J153" s="258">
        <v>3</v>
      </c>
      <c r="K153" s="311" t="str">
        <f t="shared" si="12"/>
        <v>Mantenimiento del control</v>
      </c>
      <c r="L153" s="292">
        <f t="shared" si="13"/>
        <v>140</v>
      </c>
      <c r="M153" s="439">
        <v>3.3654000000000002</v>
      </c>
      <c r="N153" s="379">
        <f t="shared" si="14"/>
        <v>143.36539999999999</v>
      </c>
      <c r="O153" s="441"/>
      <c r="P153" s="443"/>
    </row>
    <row r="154" spans="2:16" ht="95.45" customHeight="1">
      <c r="B154" s="383"/>
      <c r="C154" s="410"/>
      <c r="D154" s="253"/>
      <c r="E154" s="334"/>
      <c r="F154" s="259"/>
      <c r="G154" s="77">
        <v>2</v>
      </c>
      <c r="H154" s="124" t="s">
        <v>345</v>
      </c>
      <c r="I154" s="239"/>
      <c r="J154" s="259"/>
      <c r="K154" s="312"/>
      <c r="L154" s="292"/>
      <c r="M154" s="439"/>
      <c r="N154" s="379"/>
      <c r="O154" s="441"/>
      <c r="P154" s="443"/>
    </row>
    <row r="155" spans="2:16" ht="0.4" customHeight="1">
      <c r="B155" s="383"/>
      <c r="C155" s="410"/>
      <c r="D155" s="253"/>
      <c r="E155" s="334"/>
      <c r="F155" s="259"/>
      <c r="G155" s="77">
        <v>3</v>
      </c>
      <c r="H155" s="77"/>
      <c r="I155" s="239"/>
      <c r="J155" s="259"/>
      <c r="K155" s="312"/>
      <c r="L155" s="292"/>
      <c r="M155" s="439"/>
      <c r="N155" s="379"/>
      <c r="O155" s="441"/>
      <c r="P155" s="443"/>
    </row>
    <row r="156" spans="2:16" ht="22.5" hidden="1" customHeight="1">
      <c r="B156" s="383"/>
      <c r="C156" s="410"/>
      <c r="D156" s="253"/>
      <c r="E156" s="334"/>
      <c r="F156" s="259"/>
      <c r="G156" s="77">
        <v>4</v>
      </c>
      <c r="H156" s="77"/>
      <c r="I156" s="239"/>
      <c r="J156" s="259"/>
      <c r="K156" s="312"/>
      <c r="L156" s="292"/>
      <c r="M156" s="439"/>
      <c r="N156" s="379"/>
      <c r="O156" s="441"/>
      <c r="P156" s="443"/>
    </row>
    <row r="157" spans="2:16" ht="22.5" hidden="1" customHeight="1">
      <c r="B157" s="383"/>
      <c r="C157" s="410"/>
      <c r="D157" s="253"/>
      <c r="E157" s="334"/>
      <c r="F157" s="259"/>
      <c r="G157" s="77">
        <v>5</v>
      </c>
      <c r="H157" s="77"/>
      <c r="I157" s="239"/>
      <c r="J157" s="259"/>
      <c r="K157" s="312"/>
      <c r="L157" s="292"/>
      <c r="M157" s="439"/>
      <c r="N157" s="379"/>
      <c r="O157" s="441"/>
      <c r="P157" s="443"/>
    </row>
    <row r="158" spans="2:16" ht="22.5" hidden="1" customHeight="1">
      <c r="B158" s="383"/>
      <c r="C158" s="410"/>
      <c r="D158" s="253"/>
      <c r="E158" s="334"/>
      <c r="F158" s="259"/>
      <c r="G158" s="77">
        <v>6</v>
      </c>
      <c r="H158" s="77"/>
      <c r="I158" s="239"/>
      <c r="J158" s="259"/>
      <c r="K158" s="312"/>
      <c r="L158" s="292"/>
      <c r="M158" s="439"/>
      <c r="N158" s="379"/>
      <c r="O158" s="441"/>
      <c r="P158" s="443"/>
    </row>
    <row r="159" spans="2:16" ht="22.5" hidden="1" customHeight="1">
      <c r="B159" s="383"/>
      <c r="C159" s="410"/>
      <c r="D159" s="253"/>
      <c r="E159" s="334"/>
      <c r="F159" s="259"/>
      <c r="G159" s="77">
        <v>7</v>
      </c>
      <c r="H159" s="77"/>
      <c r="I159" s="239"/>
      <c r="J159" s="259"/>
      <c r="K159" s="312"/>
      <c r="L159" s="292"/>
      <c r="M159" s="439"/>
      <c r="N159" s="379"/>
      <c r="O159" s="441"/>
      <c r="P159" s="443"/>
    </row>
    <row r="160" spans="2:16" ht="97.9" customHeight="1" thickBot="1">
      <c r="B160" s="384"/>
      <c r="C160" s="411"/>
      <c r="D160" s="254"/>
      <c r="E160" s="335"/>
      <c r="F160" s="260"/>
      <c r="G160" s="81">
        <v>8</v>
      </c>
      <c r="H160" s="139" t="s">
        <v>351</v>
      </c>
      <c r="I160" s="240"/>
      <c r="J160" s="260"/>
      <c r="K160" s="313"/>
      <c r="L160" s="292"/>
      <c r="M160" s="439"/>
      <c r="N160" s="379"/>
      <c r="O160" s="441"/>
      <c r="P160" s="443"/>
    </row>
  </sheetData>
  <sheetProtection password="D72A" sheet="1" objects="1" scenarios="1" formatCells="0" formatColumns="0" formatRows="0"/>
  <mergeCells count="286">
    <mergeCell ref="I137:I144"/>
    <mergeCell ref="I145:I152"/>
    <mergeCell ref="I153:I160"/>
    <mergeCell ref="H41:H42"/>
    <mergeCell ref="H84:H85"/>
    <mergeCell ref="H119:H120"/>
    <mergeCell ref="I51:I58"/>
    <mergeCell ref="I59:I66"/>
    <mergeCell ref="I67:I74"/>
    <mergeCell ref="I75:I82"/>
    <mergeCell ref="I86:I93"/>
    <mergeCell ref="I94:I101"/>
    <mergeCell ref="I102:I109"/>
    <mergeCell ref="I110:I117"/>
    <mergeCell ref="I121:I128"/>
    <mergeCell ref="P137:P144"/>
    <mergeCell ref="P145:P152"/>
    <mergeCell ref="P153:P160"/>
    <mergeCell ref="P75:P82"/>
    <mergeCell ref="P83:P85"/>
    <mergeCell ref="P86:P93"/>
    <mergeCell ref="P94:P101"/>
    <mergeCell ref="P102:P109"/>
    <mergeCell ref="P110:P117"/>
    <mergeCell ref="P118:P120"/>
    <mergeCell ref="P121:P128"/>
    <mergeCell ref="P129:P136"/>
    <mergeCell ref="P13:P15"/>
    <mergeCell ref="P16:P23"/>
    <mergeCell ref="P24:P31"/>
    <mergeCell ref="P32:P39"/>
    <mergeCell ref="P40:P42"/>
    <mergeCell ref="P43:P50"/>
    <mergeCell ref="P51:P58"/>
    <mergeCell ref="P59:P66"/>
    <mergeCell ref="P67:P74"/>
    <mergeCell ref="M137:M144"/>
    <mergeCell ref="M145:M152"/>
    <mergeCell ref="M153:M160"/>
    <mergeCell ref="O13:O15"/>
    <mergeCell ref="N16:N23"/>
    <mergeCell ref="O24:O31"/>
    <mergeCell ref="O32:O39"/>
    <mergeCell ref="O40:O42"/>
    <mergeCell ref="O43:O50"/>
    <mergeCell ref="O51:O58"/>
    <mergeCell ref="O59:O66"/>
    <mergeCell ref="O67:O74"/>
    <mergeCell ref="O75:O82"/>
    <mergeCell ref="O83:O85"/>
    <mergeCell ref="O86:O93"/>
    <mergeCell ref="O94:O101"/>
    <mergeCell ref="O102:O109"/>
    <mergeCell ref="O110:O117"/>
    <mergeCell ref="O118:O120"/>
    <mergeCell ref="O121:O128"/>
    <mergeCell ref="O129:O136"/>
    <mergeCell ref="O137:O144"/>
    <mergeCell ref="O145:O152"/>
    <mergeCell ref="O153:O160"/>
    <mergeCell ref="M75:M82"/>
    <mergeCell ref="M83:M85"/>
    <mergeCell ref="M86:M93"/>
    <mergeCell ref="M94:M101"/>
    <mergeCell ref="M102:M109"/>
    <mergeCell ref="M110:M117"/>
    <mergeCell ref="M118:M120"/>
    <mergeCell ref="M121:M128"/>
    <mergeCell ref="M129:M136"/>
    <mergeCell ref="M13:M15"/>
    <mergeCell ref="M16:M23"/>
    <mergeCell ref="M24:M31"/>
    <mergeCell ref="M32:M39"/>
    <mergeCell ref="M40:M42"/>
    <mergeCell ref="M43:M50"/>
    <mergeCell ref="M51:M58"/>
    <mergeCell ref="M59:M66"/>
    <mergeCell ref="M67:M74"/>
    <mergeCell ref="L13:L15"/>
    <mergeCell ref="L16:L23"/>
    <mergeCell ref="L24:L31"/>
    <mergeCell ref="L32:L39"/>
    <mergeCell ref="L40:L42"/>
    <mergeCell ref="L43:L50"/>
    <mergeCell ref="L51:L58"/>
    <mergeCell ref="L59:L66"/>
    <mergeCell ref="L67:L74"/>
    <mergeCell ref="L75:L82"/>
    <mergeCell ref="L83:L85"/>
    <mergeCell ref="L86:L93"/>
    <mergeCell ref="L94:L101"/>
    <mergeCell ref="L102:L109"/>
    <mergeCell ref="L110:L117"/>
    <mergeCell ref="L118:L120"/>
    <mergeCell ref="L121:L128"/>
    <mergeCell ref="L129:L136"/>
    <mergeCell ref="L137:L144"/>
    <mergeCell ref="L145:L152"/>
    <mergeCell ref="L153:L160"/>
    <mergeCell ref="J137:J144"/>
    <mergeCell ref="C94:C101"/>
    <mergeCell ref="D94:D101"/>
    <mergeCell ref="E94:E101"/>
    <mergeCell ref="F94:F101"/>
    <mergeCell ref="J94:J101"/>
    <mergeCell ref="C102:C109"/>
    <mergeCell ref="D102:D109"/>
    <mergeCell ref="E102:E109"/>
    <mergeCell ref="F102:F109"/>
    <mergeCell ref="J102:J109"/>
    <mergeCell ref="C121:C128"/>
    <mergeCell ref="E121:E128"/>
    <mergeCell ref="F121:F128"/>
    <mergeCell ref="F118:F120"/>
    <mergeCell ref="C145:C152"/>
    <mergeCell ref="F145:F152"/>
    <mergeCell ref="D145:D152"/>
    <mergeCell ref="E145:E152"/>
    <mergeCell ref="F153:F160"/>
    <mergeCell ref="K121:K128"/>
    <mergeCell ref="C67:C74"/>
    <mergeCell ref="D67:D74"/>
    <mergeCell ref="E67:E74"/>
    <mergeCell ref="F67:F74"/>
    <mergeCell ref="J67:J74"/>
    <mergeCell ref="E83:E85"/>
    <mergeCell ref="E118:E120"/>
    <mergeCell ref="G84:G85"/>
    <mergeCell ref="G14:G15"/>
    <mergeCell ref="C24:C31"/>
    <mergeCell ref="E24:E31"/>
    <mergeCell ref="F24:F31"/>
    <mergeCell ref="C13:C15"/>
    <mergeCell ref="C83:C85"/>
    <mergeCell ref="F83:F85"/>
    <mergeCell ref="C75:C82"/>
    <mergeCell ref="E75:E82"/>
    <mergeCell ref="F75:F82"/>
    <mergeCell ref="D75:D82"/>
    <mergeCell ref="D83:D85"/>
    <mergeCell ref="D118:D120"/>
    <mergeCell ref="C118:C120"/>
    <mergeCell ref="C32:C39"/>
    <mergeCell ref="E32:E39"/>
    <mergeCell ref="F32:F39"/>
    <mergeCell ref="D32:D39"/>
    <mergeCell ref="I41:I42"/>
    <mergeCell ref="C43:C50"/>
    <mergeCell ref="E43:E50"/>
    <mergeCell ref="G40:I40"/>
    <mergeCell ref="F40:F42"/>
    <mergeCell ref="F43:F50"/>
    <mergeCell ref="E40:E42"/>
    <mergeCell ref="I32:I39"/>
    <mergeCell ref="I43:I50"/>
    <mergeCell ref="F59:F66"/>
    <mergeCell ref="G41:G42"/>
    <mergeCell ref="C51:C58"/>
    <mergeCell ref="D40:D42"/>
    <mergeCell ref="D59:D66"/>
    <mergeCell ref="C40:C42"/>
    <mergeCell ref="C59:C66"/>
    <mergeCell ref="E59:E66"/>
    <mergeCell ref="D43:D50"/>
    <mergeCell ref="D51:D58"/>
    <mergeCell ref="E51:E58"/>
    <mergeCell ref="F51:F58"/>
    <mergeCell ref="J118:J120"/>
    <mergeCell ref="J129:J136"/>
    <mergeCell ref="J153:J160"/>
    <mergeCell ref="G119:G120"/>
    <mergeCell ref="G83:I83"/>
    <mergeCell ref="G118:I118"/>
    <mergeCell ref="C86:C93"/>
    <mergeCell ref="E86:E93"/>
    <mergeCell ref="F86:F93"/>
    <mergeCell ref="C110:C117"/>
    <mergeCell ref="E110:E117"/>
    <mergeCell ref="F110:F117"/>
    <mergeCell ref="D110:D117"/>
    <mergeCell ref="D86:D93"/>
    <mergeCell ref="C137:C144"/>
    <mergeCell ref="D137:D144"/>
    <mergeCell ref="E137:E144"/>
    <mergeCell ref="F137:F144"/>
    <mergeCell ref="D129:D136"/>
    <mergeCell ref="D121:D128"/>
    <mergeCell ref="C129:C136"/>
    <mergeCell ref="E129:E136"/>
    <mergeCell ref="F129:F136"/>
    <mergeCell ref="I129:I136"/>
    <mergeCell ref="E16:E23"/>
    <mergeCell ref="D24:D31"/>
    <mergeCell ref="E13:E15"/>
    <mergeCell ref="D13:D15"/>
    <mergeCell ref="J13:J15"/>
    <mergeCell ref="H14:H15"/>
    <mergeCell ref="I16:I23"/>
    <mergeCell ref="I24:I31"/>
    <mergeCell ref="C153:C160"/>
    <mergeCell ref="E153:E160"/>
    <mergeCell ref="D153:D160"/>
    <mergeCell ref="J32:J39"/>
    <mergeCell ref="J40:J42"/>
    <mergeCell ref="J43:J50"/>
    <mergeCell ref="J51:J58"/>
    <mergeCell ref="J59:J66"/>
    <mergeCell ref="J75:J82"/>
    <mergeCell ref="J83:J85"/>
    <mergeCell ref="J86:J93"/>
    <mergeCell ref="J145:J152"/>
    <mergeCell ref="J121:J128"/>
    <mergeCell ref="I84:I85"/>
    <mergeCell ref="I119:I120"/>
    <mergeCell ref="J110:J117"/>
    <mergeCell ref="K145:K152"/>
    <mergeCell ref="K153:K160"/>
    <mergeCell ref="C10:K10"/>
    <mergeCell ref="C11:K11"/>
    <mergeCell ref="K13:K15"/>
    <mergeCell ref="K40:K42"/>
    <mergeCell ref="K83:K85"/>
    <mergeCell ref="K118:K120"/>
    <mergeCell ref="K16:K23"/>
    <mergeCell ref="K24:K31"/>
    <mergeCell ref="K32:K39"/>
    <mergeCell ref="K43:K50"/>
    <mergeCell ref="K51:K58"/>
    <mergeCell ref="K59:K66"/>
    <mergeCell ref="K67:K74"/>
    <mergeCell ref="K75:K82"/>
    <mergeCell ref="K86:K93"/>
    <mergeCell ref="K94:K101"/>
    <mergeCell ref="K102:K109"/>
    <mergeCell ref="K110:K117"/>
    <mergeCell ref="G13:I13"/>
    <mergeCell ref="J16:J23"/>
    <mergeCell ref="J24:J31"/>
    <mergeCell ref="I14:I15"/>
    <mergeCell ref="B145:B152"/>
    <mergeCell ref="B153:B160"/>
    <mergeCell ref="B86:B93"/>
    <mergeCell ref="B94:B101"/>
    <mergeCell ref="B121:B128"/>
    <mergeCell ref="B129:B136"/>
    <mergeCell ref="B75:B82"/>
    <mergeCell ref="B83:B85"/>
    <mergeCell ref="B102:B109"/>
    <mergeCell ref="B110:B117"/>
    <mergeCell ref="B118:B120"/>
    <mergeCell ref="N13:N15"/>
    <mergeCell ref="N24:N31"/>
    <mergeCell ref="N32:N39"/>
    <mergeCell ref="N40:N42"/>
    <mergeCell ref="N43:N50"/>
    <mergeCell ref="N51:N58"/>
    <mergeCell ref="N59:N66"/>
    <mergeCell ref="N67:N74"/>
    <mergeCell ref="B137:B144"/>
    <mergeCell ref="B13:B15"/>
    <mergeCell ref="B16:B23"/>
    <mergeCell ref="B24:B31"/>
    <mergeCell ref="B32:B39"/>
    <mergeCell ref="B51:B58"/>
    <mergeCell ref="B59:B66"/>
    <mergeCell ref="B67:B74"/>
    <mergeCell ref="B40:B42"/>
    <mergeCell ref="B43:B50"/>
    <mergeCell ref="K129:K136"/>
    <mergeCell ref="K137:K144"/>
    <mergeCell ref="F13:F15"/>
    <mergeCell ref="C16:C23"/>
    <mergeCell ref="D16:D23"/>
    <mergeCell ref="F16:F23"/>
    <mergeCell ref="N137:N144"/>
    <mergeCell ref="N145:N152"/>
    <mergeCell ref="N153:N160"/>
    <mergeCell ref="N75:N82"/>
    <mergeCell ref="N83:N85"/>
    <mergeCell ref="N86:N93"/>
    <mergeCell ref="N94:N101"/>
    <mergeCell ref="N102:N109"/>
    <mergeCell ref="N110:N117"/>
    <mergeCell ref="N118:N120"/>
    <mergeCell ref="N121:N128"/>
    <mergeCell ref="N129:N136"/>
  </mergeCells>
  <dataValidations count="1">
    <dataValidation type="list" allowBlank="1" showInputMessage="1" showErrorMessage="1" sqref="F121:F160 F43:F82 J16:J39 F86:F117 J86:J117 F16:F39 J43:J82 J121:J160" xr:uid="{00000000-0002-0000-0400-000000000000}">
      <formula1>"1,2,3"</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tabColor theme="3" tint="0.39997558519241921"/>
  </sheetPr>
  <dimension ref="B1:O198"/>
  <sheetViews>
    <sheetView showGridLines="0" topLeftCell="E20" zoomScaleNormal="100" workbookViewId="0">
      <selection activeCell="H29" sqref="H29"/>
    </sheetView>
  </sheetViews>
  <sheetFormatPr defaultColWidth="3.28515625" defaultRowHeight="22.5" customHeight="1"/>
  <cols>
    <col min="1" max="1" width="2.5703125" style="9" customWidth="1"/>
    <col min="2" max="2" width="4.42578125" style="9" hidden="1" customWidth="1"/>
    <col min="3" max="4" width="42.5703125" style="9" customWidth="1"/>
    <col min="5" max="5" width="39.7109375" style="9" customWidth="1"/>
    <col min="6" max="6" width="7.42578125" style="9" customWidth="1"/>
    <col min="7" max="7" width="3.5703125" style="9" bestFit="1" customWidth="1"/>
    <col min="8" max="8" width="38.28515625" style="9" customWidth="1"/>
    <col min="9" max="9" width="39.28515625" style="9" customWidth="1"/>
    <col min="10" max="10" width="7.42578125" style="9" customWidth="1"/>
    <col min="11" max="11" width="26" style="9" customWidth="1"/>
    <col min="12" max="13" width="8" style="52" customWidth="1"/>
    <col min="14" max="14" width="12" style="52" customWidth="1"/>
    <col min="15" max="15" width="3.28515625" style="29" customWidth="1"/>
    <col min="16" max="16363" width="3.28515625" style="9" customWidth="1"/>
    <col min="16364" max="16384" width="3.28515625" style="9"/>
  </cols>
  <sheetData>
    <row r="1" spans="3:11" ht="10.15" customHeight="1"/>
    <row r="2" spans="3:11" ht="10.15" customHeight="1"/>
    <row r="3" spans="3:11" ht="10.15" customHeight="1"/>
    <row r="4" spans="3:11" ht="10.15" customHeight="1"/>
    <row r="5" spans="3:11" ht="10.15" customHeight="1"/>
    <row r="6" spans="3:11" ht="10.15" customHeight="1"/>
    <row r="7" spans="3:11" ht="10.15" customHeight="1"/>
    <row r="8" spans="3:11" ht="10.15" customHeight="1"/>
    <row r="9" spans="3:11" ht="10.15" customHeight="1"/>
    <row r="10" spans="3:11" ht="10.15" customHeight="1"/>
    <row r="11" spans="3:11" ht="10.15" customHeight="1"/>
    <row r="12" spans="3:11" ht="31.5" customHeight="1"/>
    <row r="13" spans="3:11" ht="24.75" customHeight="1"/>
    <row r="14" spans="3:11" ht="20.25" customHeight="1"/>
    <row r="15" spans="3:11" ht="20.100000000000001" customHeight="1">
      <c r="C15" s="461" t="s">
        <v>352</v>
      </c>
      <c r="D15" s="461"/>
      <c r="E15" s="461"/>
      <c r="F15" s="461"/>
      <c r="G15" s="461"/>
      <c r="H15" s="461"/>
      <c r="I15" s="461"/>
      <c r="J15" s="461"/>
      <c r="K15" s="461"/>
    </row>
    <row r="16" spans="3:11" ht="37.9" customHeight="1">
      <c r="C16" s="360" t="s">
        <v>353</v>
      </c>
      <c r="D16" s="360"/>
      <c r="E16" s="360"/>
      <c r="F16" s="360"/>
      <c r="G16" s="360"/>
      <c r="H16" s="360"/>
      <c r="I16" s="360"/>
      <c r="J16" s="360"/>
      <c r="K16" s="360"/>
    </row>
    <row r="17" spans="2:14" ht="10.15" customHeight="1" thickBot="1">
      <c r="C17" s="10"/>
      <c r="D17" s="10"/>
      <c r="F17" s="11"/>
    </row>
    <row r="18" spans="2:14" ht="36.75" customHeight="1">
      <c r="B18" s="455" t="s">
        <v>111</v>
      </c>
      <c r="C18" s="479" t="s">
        <v>354</v>
      </c>
      <c r="D18" s="482" t="s">
        <v>8</v>
      </c>
      <c r="E18" s="482" t="s">
        <v>355</v>
      </c>
      <c r="F18" s="475" t="s">
        <v>262</v>
      </c>
      <c r="G18" s="485" t="s">
        <v>116</v>
      </c>
      <c r="H18" s="485"/>
      <c r="I18" s="485"/>
      <c r="J18" s="475" t="s">
        <v>356</v>
      </c>
      <c r="K18" s="464" t="s">
        <v>161</v>
      </c>
      <c r="L18" s="438"/>
      <c r="M18" s="438"/>
      <c r="N18" s="438"/>
    </row>
    <row r="19" spans="2:14" ht="29.25" customHeight="1">
      <c r="B19" s="456"/>
      <c r="C19" s="480"/>
      <c r="D19" s="483"/>
      <c r="E19" s="483"/>
      <c r="F19" s="476"/>
      <c r="G19" s="473" t="s">
        <v>13</v>
      </c>
      <c r="H19" s="483" t="s">
        <v>15</v>
      </c>
      <c r="I19" s="483" t="s">
        <v>17</v>
      </c>
      <c r="J19" s="476"/>
      <c r="K19" s="465"/>
      <c r="L19" s="438"/>
      <c r="M19" s="438"/>
      <c r="N19" s="438"/>
    </row>
    <row r="20" spans="2:14" ht="65.25" customHeight="1" thickBot="1">
      <c r="B20" s="457"/>
      <c r="C20" s="481"/>
      <c r="D20" s="484"/>
      <c r="E20" s="484"/>
      <c r="F20" s="477"/>
      <c r="G20" s="474"/>
      <c r="H20" s="474"/>
      <c r="I20" s="474"/>
      <c r="J20" s="477"/>
      <c r="K20" s="466"/>
      <c r="L20" s="438"/>
      <c r="M20" s="438"/>
      <c r="N20" s="438"/>
    </row>
    <row r="21" spans="2:14" ht="82.5">
      <c r="B21" s="295" t="str">
        <f>+LEFT(C21,4)</f>
        <v>10.1</v>
      </c>
      <c r="C21" s="470" t="s">
        <v>357</v>
      </c>
      <c r="D21" s="253" t="s">
        <v>335</v>
      </c>
      <c r="E21" s="471" t="s">
        <v>358</v>
      </c>
      <c r="F21" s="472">
        <v>3</v>
      </c>
      <c r="G21" s="76">
        <v>1</v>
      </c>
      <c r="H21" s="126" t="s">
        <v>359</v>
      </c>
      <c r="I21" s="239" t="s">
        <v>360</v>
      </c>
      <c r="J21" s="478">
        <v>3</v>
      </c>
      <c r="K21" s="365" t="str">
        <f t="shared" ref="K21" si="0">+IF(OR(ISBLANK(F21),ISBLANK(J21)),"",IF(OR(AND(F21=1,J21=1),AND(F21=1,J21=2),AND(F21=1,J21=3)),"Deficiencia de control mayor (diseño y ejecución)",IF(OR(AND(F21=2,J21=2),AND(F21=3,J21=1),AND(F21=3,J21=2),AND(F21=2,J21=1)),"Deficiencia de control (diseño o ejecución)",IF(AND(F21=2,J21=3),"Oportunidad de mejora","Mantenimiento del control"))))</f>
        <v>Mantenimiento del control</v>
      </c>
      <c r="L21" s="292">
        <f>+IF(K21="",152,IF(K21="Deficiencia de control mayor (diseño y ejecución)",160,IF(K21="Deficiencia de control (diseño o ejecución)",180,IF(K21="Oportunidad de mejora",200,220))))</f>
        <v>220</v>
      </c>
      <c r="M21" s="439">
        <v>3.4569000000000001</v>
      </c>
      <c r="N21" s="439">
        <f>+L21+M21</f>
        <v>223.45689999999999</v>
      </c>
    </row>
    <row r="22" spans="2:14" ht="97.5" customHeight="1">
      <c r="B22" s="296"/>
      <c r="C22" s="250"/>
      <c r="D22" s="253"/>
      <c r="E22" s="334"/>
      <c r="F22" s="259"/>
      <c r="G22" s="77">
        <v>2</v>
      </c>
      <c r="H22" s="124"/>
      <c r="I22" s="239"/>
      <c r="J22" s="280"/>
      <c r="K22" s="312"/>
      <c r="L22" s="292"/>
      <c r="M22" s="439"/>
      <c r="N22" s="439"/>
    </row>
    <row r="23" spans="2:14" ht="78" customHeight="1" thickBot="1">
      <c r="B23" s="296"/>
      <c r="C23" s="250"/>
      <c r="D23" s="253"/>
      <c r="E23" s="334"/>
      <c r="F23" s="259"/>
      <c r="G23" s="77">
        <v>3</v>
      </c>
      <c r="H23" s="77"/>
      <c r="I23" s="239"/>
      <c r="J23" s="280"/>
      <c r="K23" s="312"/>
      <c r="L23" s="292"/>
      <c r="M23" s="439"/>
      <c r="N23" s="439"/>
    </row>
    <row r="24" spans="2:14" ht="39.4" hidden="1" customHeight="1" thickBot="1">
      <c r="B24" s="296"/>
      <c r="C24" s="250"/>
      <c r="D24" s="253"/>
      <c r="E24" s="334"/>
      <c r="F24" s="259"/>
      <c r="G24" s="77">
        <v>4</v>
      </c>
      <c r="H24" s="77"/>
      <c r="I24" s="239"/>
      <c r="J24" s="280"/>
      <c r="K24" s="312"/>
      <c r="L24" s="292"/>
      <c r="M24" s="439"/>
      <c r="N24" s="439"/>
    </row>
    <row r="25" spans="2:14" ht="36.4" hidden="1" customHeight="1" thickBot="1">
      <c r="B25" s="296"/>
      <c r="C25" s="250"/>
      <c r="D25" s="253"/>
      <c r="E25" s="334"/>
      <c r="F25" s="259"/>
      <c r="G25" s="77">
        <v>5</v>
      </c>
      <c r="H25" s="77"/>
      <c r="I25" s="239"/>
      <c r="J25" s="280"/>
      <c r="K25" s="312"/>
      <c r="L25" s="292"/>
      <c r="M25" s="439"/>
      <c r="N25" s="439"/>
    </row>
    <row r="26" spans="2:14" ht="37.5" hidden="1" customHeight="1" thickBot="1">
      <c r="B26" s="296"/>
      <c r="C26" s="250"/>
      <c r="D26" s="253"/>
      <c r="E26" s="334"/>
      <c r="F26" s="259"/>
      <c r="G26" s="77">
        <v>6</v>
      </c>
      <c r="H26" s="77"/>
      <c r="I26" s="239"/>
      <c r="J26" s="280"/>
      <c r="K26" s="312"/>
      <c r="L26" s="292"/>
      <c r="M26" s="439"/>
      <c r="N26" s="439"/>
    </row>
    <row r="27" spans="2:14" ht="37.5" hidden="1" customHeight="1" thickBot="1">
      <c r="B27" s="296"/>
      <c r="C27" s="250"/>
      <c r="D27" s="253"/>
      <c r="E27" s="334"/>
      <c r="F27" s="259"/>
      <c r="G27" s="77">
        <v>7</v>
      </c>
      <c r="H27" s="77"/>
      <c r="I27" s="239"/>
      <c r="J27" s="280"/>
      <c r="K27" s="312"/>
      <c r="L27" s="292"/>
      <c r="M27" s="439"/>
      <c r="N27" s="439"/>
    </row>
    <row r="28" spans="2:14" ht="45" hidden="1" customHeight="1" thickBot="1">
      <c r="B28" s="297"/>
      <c r="C28" s="251"/>
      <c r="D28" s="254"/>
      <c r="E28" s="335"/>
      <c r="F28" s="260"/>
      <c r="G28" s="81">
        <v>8</v>
      </c>
      <c r="H28" s="81"/>
      <c r="I28" s="240"/>
      <c r="J28" s="281"/>
      <c r="K28" s="313"/>
      <c r="L28" s="292"/>
      <c r="M28" s="439"/>
      <c r="N28" s="439"/>
    </row>
    <row r="29" spans="2:14" ht="66">
      <c r="B29" s="295" t="str">
        <f>+LEFT(C29,4)</f>
        <v>10.2</v>
      </c>
      <c r="C29" s="249" t="s">
        <v>361</v>
      </c>
      <c r="D29" s="252" t="s">
        <v>335</v>
      </c>
      <c r="E29" s="333" t="s">
        <v>362</v>
      </c>
      <c r="F29" s="258">
        <v>3</v>
      </c>
      <c r="G29" s="82">
        <v>1</v>
      </c>
      <c r="H29" s="123" t="s">
        <v>284</v>
      </c>
      <c r="I29" s="236" t="s">
        <v>363</v>
      </c>
      <c r="J29" s="279">
        <v>3</v>
      </c>
      <c r="K29" s="311" t="str">
        <f t="shared" ref="K29:K37" si="1">+IF(OR(ISBLANK(F29),ISBLANK(J29)),"",IF(OR(AND(F29=1,J29=1),AND(F29=1,J29=2),AND(F29=1,J29=3)),"Deficiencia de control mayor (diseño y ejecución)",IF(OR(AND(F29=2,J29=2),AND(F29=3,J29=1),AND(F29=3,J29=2),AND(F29=2,J29=1)),"Deficiencia de control (diseño o ejecución)",IF(AND(F29=2,J29=3),"Oportunidad de mejora","Mantenimiento del control"))))</f>
        <v>Mantenimiento del control</v>
      </c>
      <c r="L29" s="292">
        <f t="shared" ref="L29" si="2">+IF(K29="",152,IF(K29="Deficiencia de control mayor (diseño y ejecución)",160,IF(K29="Deficiencia de control (diseño o ejecución)",180,IF(K29="Oportunidad de mejora",200,220))))</f>
        <v>220</v>
      </c>
      <c r="M29" s="439">
        <v>3.5478000000000001</v>
      </c>
      <c r="N29" s="439">
        <f>+L29+M29</f>
        <v>223.5478</v>
      </c>
    </row>
    <row r="30" spans="2:14" ht="122.65" customHeight="1">
      <c r="B30" s="296"/>
      <c r="C30" s="250"/>
      <c r="D30" s="253"/>
      <c r="E30" s="341"/>
      <c r="F30" s="259"/>
      <c r="G30" s="77">
        <v>2</v>
      </c>
      <c r="H30" s="135" t="s">
        <v>364</v>
      </c>
      <c r="I30" s="239"/>
      <c r="J30" s="280"/>
      <c r="K30" s="312"/>
      <c r="L30" s="292"/>
      <c r="M30" s="439"/>
      <c r="N30" s="439"/>
    </row>
    <row r="31" spans="2:14" ht="132.75" thickBot="1">
      <c r="B31" s="296"/>
      <c r="C31" s="250"/>
      <c r="D31" s="253"/>
      <c r="E31" s="341"/>
      <c r="F31" s="259"/>
      <c r="G31" s="77">
        <v>3</v>
      </c>
      <c r="H31" s="124" t="s">
        <v>365</v>
      </c>
      <c r="I31" s="239"/>
      <c r="J31" s="280"/>
      <c r="K31" s="312"/>
      <c r="L31" s="292"/>
      <c r="M31" s="439"/>
      <c r="N31" s="439"/>
    </row>
    <row r="32" spans="2:14" ht="0.4" customHeight="1" thickBot="1">
      <c r="B32" s="296"/>
      <c r="C32" s="250"/>
      <c r="D32" s="253"/>
      <c r="E32" s="341"/>
      <c r="F32" s="259"/>
      <c r="G32" s="77">
        <v>4</v>
      </c>
      <c r="H32" s="77"/>
      <c r="I32" s="239"/>
      <c r="J32" s="280"/>
      <c r="K32" s="312"/>
      <c r="L32" s="292"/>
      <c r="M32" s="439"/>
      <c r="N32" s="439"/>
    </row>
    <row r="33" spans="2:14" ht="21" hidden="1" customHeight="1" thickBot="1">
      <c r="B33" s="296"/>
      <c r="C33" s="250"/>
      <c r="D33" s="253"/>
      <c r="E33" s="341"/>
      <c r="F33" s="259"/>
      <c r="G33" s="77">
        <v>5</v>
      </c>
      <c r="H33" s="77"/>
      <c r="I33" s="239"/>
      <c r="J33" s="280"/>
      <c r="K33" s="312"/>
      <c r="L33" s="292"/>
      <c r="M33" s="439"/>
      <c r="N33" s="439"/>
    </row>
    <row r="34" spans="2:14" ht="21" hidden="1" customHeight="1" thickBot="1">
      <c r="B34" s="296"/>
      <c r="C34" s="250"/>
      <c r="D34" s="253"/>
      <c r="E34" s="341"/>
      <c r="F34" s="259"/>
      <c r="G34" s="77">
        <v>6</v>
      </c>
      <c r="H34" s="77"/>
      <c r="I34" s="239"/>
      <c r="J34" s="280"/>
      <c r="K34" s="312"/>
      <c r="L34" s="292"/>
      <c r="M34" s="439"/>
      <c r="N34" s="439"/>
    </row>
    <row r="35" spans="2:14" ht="21" hidden="1" customHeight="1" thickBot="1">
      <c r="B35" s="296"/>
      <c r="C35" s="250"/>
      <c r="D35" s="253"/>
      <c r="E35" s="341"/>
      <c r="F35" s="259"/>
      <c r="G35" s="77">
        <v>7</v>
      </c>
      <c r="H35" s="77"/>
      <c r="I35" s="239"/>
      <c r="J35" s="280"/>
      <c r="K35" s="312"/>
      <c r="L35" s="292"/>
      <c r="M35" s="439"/>
      <c r="N35" s="439"/>
    </row>
    <row r="36" spans="2:14" ht="21" hidden="1" customHeight="1" thickBot="1">
      <c r="B36" s="297"/>
      <c r="C36" s="251"/>
      <c r="D36" s="254"/>
      <c r="E36" s="342"/>
      <c r="F36" s="260"/>
      <c r="G36" s="81">
        <v>8</v>
      </c>
      <c r="H36" s="81"/>
      <c r="I36" s="240"/>
      <c r="J36" s="281"/>
      <c r="K36" s="313"/>
      <c r="L36" s="292"/>
      <c r="M36" s="439"/>
      <c r="N36" s="439"/>
    </row>
    <row r="37" spans="2:14" ht="99.75" thickBot="1">
      <c r="B37" s="295" t="str">
        <f>+LEFT(C37,4)</f>
        <v>10.3</v>
      </c>
      <c r="C37" s="249" t="s">
        <v>366</v>
      </c>
      <c r="D37" s="252" t="s">
        <v>367</v>
      </c>
      <c r="E37" s="333" t="s">
        <v>368</v>
      </c>
      <c r="F37" s="258">
        <v>3</v>
      </c>
      <c r="G37" s="82">
        <v>1</v>
      </c>
      <c r="H37" s="123" t="s">
        <v>369</v>
      </c>
      <c r="I37" s="236" t="s">
        <v>370</v>
      </c>
      <c r="J37" s="279">
        <v>2</v>
      </c>
      <c r="K37" s="311" t="str">
        <f t="shared" si="1"/>
        <v>Deficiencia de control (diseño o ejecución)</v>
      </c>
      <c r="L37" s="292">
        <f t="shared" ref="L37" si="3">+IF(K37="",152,IF(K37="Deficiencia de control mayor (diseño y ejecución)",160,IF(K37="Deficiencia de control (diseño o ejecución)",180,IF(K37="Oportunidad de mejora",200,220))))</f>
        <v>180</v>
      </c>
      <c r="M37" s="439">
        <v>3.6457999999999999</v>
      </c>
      <c r="N37" s="439">
        <f>+L37+M37</f>
        <v>183.64580000000001</v>
      </c>
    </row>
    <row r="38" spans="2:14" ht="66">
      <c r="B38" s="296"/>
      <c r="C38" s="250"/>
      <c r="D38" s="253"/>
      <c r="E38" s="334"/>
      <c r="F38" s="259"/>
      <c r="G38" s="77">
        <v>2</v>
      </c>
      <c r="H38" s="123" t="s">
        <v>284</v>
      </c>
      <c r="I38" s="239"/>
      <c r="J38" s="280"/>
      <c r="K38" s="312"/>
      <c r="L38" s="292"/>
      <c r="M38" s="439"/>
      <c r="N38" s="439"/>
    </row>
    <row r="39" spans="2:14" ht="84.6" customHeight="1">
      <c r="B39" s="296"/>
      <c r="C39" s="250"/>
      <c r="D39" s="253"/>
      <c r="E39" s="334"/>
      <c r="F39" s="259"/>
      <c r="G39" s="77">
        <v>3</v>
      </c>
      <c r="H39" s="124" t="s">
        <v>371</v>
      </c>
      <c r="I39" s="239"/>
      <c r="J39" s="280"/>
      <c r="K39" s="312"/>
      <c r="L39" s="292"/>
      <c r="M39" s="439"/>
      <c r="N39" s="439"/>
    </row>
    <row r="40" spans="2:14" ht="19.899999999999999" customHeight="1" thickBot="1">
      <c r="B40" s="296"/>
      <c r="C40" s="250"/>
      <c r="D40" s="253"/>
      <c r="E40" s="334"/>
      <c r="F40" s="259"/>
      <c r="G40" s="77">
        <v>4</v>
      </c>
      <c r="H40" s="77"/>
      <c r="I40" s="239"/>
      <c r="J40" s="280"/>
      <c r="K40" s="312"/>
      <c r="L40" s="292"/>
      <c r="M40" s="439"/>
      <c r="N40" s="439"/>
    </row>
    <row r="41" spans="2:14" ht="21" hidden="1" customHeight="1" thickBot="1">
      <c r="B41" s="296"/>
      <c r="C41" s="250"/>
      <c r="D41" s="253"/>
      <c r="E41" s="334"/>
      <c r="F41" s="259"/>
      <c r="G41" s="77">
        <v>5</v>
      </c>
      <c r="H41" s="77"/>
      <c r="I41" s="239"/>
      <c r="J41" s="280"/>
      <c r="K41" s="312"/>
      <c r="L41" s="292"/>
      <c r="M41" s="439"/>
      <c r="N41" s="439"/>
    </row>
    <row r="42" spans="2:14" ht="21" hidden="1" customHeight="1" thickBot="1">
      <c r="B42" s="296"/>
      <c r="C42" s="250"/>
      <c r="D42" s="253"/>
      <c r="E42" s="334"/>
      <c r="F42" s="259"/>
      <c r="G42" s="77">
        <v>6</v>
      </c>
      <c r="H42" s="77"/>
      <c r="I42" s="239"/>
      <c r="J42" s="280"/>
      <c r="K42" s="312"/>
      <c r="L42" s="292"/>
      <c r="M42" s="439"/>
      <c r="N42" s="439"/>
    </row>
    <row r="43" spans="2:14" ht="21" hidden="1" customHeight="1" thickBot="1">
      <c r="B43" s="296"/>
      <c r="C43" s="250"/>
      <c r="D43" s="253"/>
      <c r="E43" s="334"/>
      <c r="F43" s="259"/>
      <c r="G43" s="77">
        <v>7</v>
      </c>
      <c r="H43" s="77"/>
      <c r="I43" s="239"/>
      <c r="J43" s="280"/>
      <c r="K43" s="312"/>
      <c r="L43" s="292"/>
      <c r="M43" s="439"/>
      <c r="N43" s="439"/>
    </row>
    <row r="44" spans="2:14" ht="48.4" hidden="1" customHeight="1" thickBot="1">
      <c r="B44" s="297"/>
      <c r="C44" s="251"/>
      <c r="D44" s="254"/>
      <c r="E44" s="335"/>
      <c r="F44" s="260"/>
      <c r="G44" s="81">
        <v>8</v>
      </c>
      <c r="H44" s="81"/>
      <c r="I44" s="240"/>
      <c r="J44" s="281"/>
      <c r="K44" s="313"/>
      <c r="L44" s="292"/>
      <c r="M44" s="439"/>
      <c r="N44" s="439"/>
    </row>
    <row r="45" spans="2:14" ht="27" customHeight="1">
      <c r="B45" s="458"/>
      <c r="C45" s="479" t="s">
        <v>372</v>
      </c>
      <c r="D45" s="501" t="s">
        <v>8</v>
      </c>
      <c r="E45" s="497" t="s">
        <v>355</v>
      </c>
      <c r="F45" s="502" t="s">
        <v>262</v>
      </c>
      <c r="G45" s="504" t="s">
        <v>116</v>
      </c>
      <c r="H45" s="505"/>
      <c r="I45" s="505"/>
      <c r="J45" s="502" t="s">
        <v>356</v>
      </c>
      <c r="K45" s="467" t="s">
        <v>161</v>
      </c>
      <c r="L45" s="437"/>
      <c r="M45" s="437"/>
      <c r="N45" s="437"/>
    </row>
    <row r="46" spans="2:14" ht="33" customHeight="1">
      <c r="B46" s="459"/>
      <c r="C46" s="480"/>
      <c r="D46" s="495"/>
      <c r="E46" s="498"/>
      <c r="F46" s="486"/>
      <c r="G46" s="488" t="s">
        <v>13</v>
      </c>
      <c r="H46" s="492" t="s">
        <v>15</v>
      </c>
      <c r="I46" s="492" t="s">
        <v>17</v>
      </c>
      <c r="J46" s="486"/>
      <c r="K46" s="468"/>
      <c r="L46" s="437"/>
      <c r="M46" s="437"/>
      <c r="N46" s="437"/>
    </row>
    <row r="47" spans="2:14" ht="75" customHeight="1" thickBot="1">
      <c r="B47" s="460"/>
      <c r="C47" s="481"/>
      <c r="D47" s="496"/>
      <c r="E47" s="499"/>
      <c r="F47" s="503"/>
      <c r="G47" s="506"/>
      <c r="H47" s="493"/>
      <c r="I47" s="493"/>
      <c r="J47" s="503"/>
      <c r="K47" s="469"/>
      <c r="L47" s="437"/>
      <c r="M47" s="437"/>
      <c r="N47" s="437"/>
    </row>
    <row r="48" spans="2:14" ht="115.5">
      <c r="B48" s="295" t="str">
        <f>+LEFT(C48,4)</f>
        <v>11.1</v>
      </c>
      <c r="C48" s="249" t="s">
        <v>373</v>
      </c>
      <c r="D48" s="252" t="s">
        <v>374</v>
      </c>
      <c r="E48" s="236" t="s">
        <v>375</v>
      </c>
      <c r="F48" s="279">
        <v>3</v>
      </c>
      <c r="G48" s="82">
        <v>1</v>
      </c>
      <c r="H48" s="123" t="s">
        <v>376</v>
      </c>
      <c r="I48" s="236" t="s">
        <v>377</v>
      </c>
      <c r="J48" s="500">
        <v>3</v>
      </c>
      <c r="K48" s="311" t="str">
        <f t="shared" ref="K48:K72" si="4">+IF(OR(ISBLANK(F48),ISBLANK(J48)),"",IF(OR(AND(F48=1,J48=1),AND(F48=1,J48=2),AND(F48=1,J48=3)),"Deficiencia de control mayor (diseño y ejecución)",IF(OR(AND(F48=2,J48=2),AND(F48=3,J48=1),AND(F48=3,J48=2),AND(F48=2,J48=1)),"Deficiencia de control (diseño o ejecución)",IF(AND(F48=2,J48=3),"Oportunidad de mejora","Mantenimiento del control"))))</f>
        <v>Mantenimiento del control</v>
      </c>
      <c r="L48" s="292">
        <f t="shared" ref="L48" si="5">+IF(K48="",152,IF(K48="Deficiencia de control mayor (diseño y ejecución)",160,IF(K48="Deficiencia de control (diseño o ejecución)",180,IF(K48="Oportunidad de mejora",200,220))))</f>
        <v>220</v>
      </c>
      <c r="M48" s="439">
        <v>3.7896000000000001</v>
      </c>
      <c r="N48" s="439">
        <f>+L48+M48</f>
        <v>223.78960000000001</v>
      </c>
    </row>
    <row r="49" spans="2:14" ht="82.5">
      <c r="B49" s="296"/>
      <c r="C49" s="250"/>
      <c r="D49" s="253"/>
      <c r="E49" s="239"/>
      <c r="F49" s="280"/>
      <c r="G49" s="77">
        <v>2</v>
      </c>
      <c r="H49" s="124" t="s">
        <v>378</v>
      </c>
      <c r="I49" s="237"/>
      <c r="J49" s="280"/>
      <c r="K49" s="312"/>
      <c r="L49" s="292"/>
      <c r="M49" s="439"/>
      <c r="N49" s="439"/>
    </row>
    <row r="50" spans="2:14" ht="16.5">
      <c r="B50" s="296"/>
      <c r="C50" s="250"/>
      <c r="D50" s="253"/>
      <c r="E50" s="239"/>
      <c r="F50" s="280"/>
      <c r="G50" s="77">
        <v>3</v>
      </c>
      <c r="H50" s="124"/>
      <c r="I50" s="237"/>
      <c r="J50" s="280"/>
      <c r="K50" s="312"/>
      <c r="L50" s="292"/>
      <c r="M50" s="439"/>
      <c r="N50" s="439"/>
    </row>
    <row r="51" spans="2:14" ht="1.5" customHeight="1" thickBot="1">
      <c r="B51" s="296"/>
      <c r="C51" s="250"/>
      <c r="D51" s="253"/>
      <c r="E51" s="239"/>
      <c r="F51" s="280"/>
      <c r="G51" s="77">
        <v>4</v>
      </c>
      <c r="H51" s="77"/>
      <c r="I51" s="237"/>
      <c r="J51" s="280"/>
      <c r="K51" s="312"/>
      <c r="L51" s="292"/>
      <c r="M51" s="439"/>
      <c r="N51" s="439"/>
    </row>
    <row r="52" spans="2:14" ht="21" hidden="1" customHeight="1" thickBot="1">
      <c r="B52" s="296"/>
      <c r="C52" s="250"/>
      <c r="D52" s="253"/>
      <c r="E52" s="239"/>
      <c r="F52" s="280"/>
      <c r="G52" s="77">
        <v>5</v>
      </c>
      <c r="H52" s="77"/>
      <c r="I52" s="237"/>
      <c r="J52" s="280"/>
      <c r="K52" s="312"/>
      <c r="L52" s="292"/>
      <c r="M52" s="439"/>
      <c r="N52" s="439"/>
    </row>
    <row r="53" spans="2:14" ht="21" hidden="1" customHeight="1" thickBot="1">
      <c r="B53" s="296"/>
      <c r="C53" s="250"/>
      <c r="D53" s="253"/>
      <c r="E53" s="239"/>
      <c r="F53" s="280"/>
      <c r="G53" s="77">
        <v>6</v>
      </c>
      <c r="H53" s="77"/>
      <c r="I53" s="237"/>
      <c r="J53" s="280"/>
      <c r="K53" s="312"/>
      <c r="L53" s="292"/>
      <c r="M53" s="439"/>
      <c r="N53" s="439"/>
    </row>
    <row r="54" spans="2:14" ht="21" hidden="1" customHeight="1" thickBot="1">
      <c r="B54" s="296"/>
      <c r="C54" s="250"/>
      <c r="D54" s="253"/>
      <c r="E54" s="239"/>
      <c r="F54" s="280"/>
      <c r="G54" s="77">
        <v>7</v>
      </c>
      <c r="H54" s="77"/>
      <c r="I54" s="237"/>
      <c r="J54" s="280"/>
      <c r="K54" s="312"/>
      <c r="L54" s="292"/>
      <c r="M54" s="439"/>
      <c r="N54" s="439"/>
    </row>
    <row r="55" spans="2:14" ht="21" hidden="1" customHeight="1" thickBot="1">
      <c r="B55" s="297"/>
      <c r="C55" s="251"/>
      <c r="D55" s="254"/>
      <c r="E55" s="240"/>
      <c r="F55" s="281"/>
      <c r="G55" s="81">
        <v>8</v>
      </c>
      <c r="H55" s="81"/>
      <c r="I55" s="238"/>
      <c r="J55" s="281"/>
      <c r="K55" s="313"/>
      <c r="L55" s="292"/>
      <c r="M55" s="439"/>
      <c r="N55" s="439"/>
    </row>
    <row r="56" spans="2:14" ht="82.5">
      <c r="B56" s="295" t="str">
        <f>+LEFT(C56,4)</f>
        <v>11.2</v>
      </c>
      <c r="C56" s="249" t="s">
        <v>379</v>
      </c>
      <c r="D56" s="252" t="s">
        <v>374</v>
      </c>
      <c r="E56" s="333" t="s">
        <v>380</v>
      </c>
      <c r="F56" s="279">
        <v>3</v>
      </c>
      <c r="G56" s="82">
        <v>1</v>
      </c>
      <c r="H56" s="136" t="s">
        <v>381</v>
      </c>
      <c r="I56" s="236" t="s">
        <v>382</v>
      </c>
      <c r="J56" s="279">
        <v>3</v>
      </c>
      <c r="K56" s="311" t="str">
        <f t="shared" si="4"/>
        <v>Mantenimiento del control</v>
      </c>
      <c r="L56" s="292">
        <f t="shared" ref="L56" si="6">+IF(K56="",152,IF(K56="Deficiencia de control mayor (diseño y ejecución)",160,IF(K56="Deficiencia de control (diseño o ejecución)",180,IF(K56="Oportunidad de mejora",200,220))))</f>
        <v>220</v>
      </c>
      <c r="M56" s="439">
        <v>3.8456000000000001</v>
      </c>
      <c r="N56" s="439">
        <f>+L56+M56</f>
        <v>223.84559999999999</v>
      </c>
    </row>
    <row r="57" spans="2:14" ht="115.5">
      <c r="B57" s="296"/>
      <c r="C57" s="250"/>
      <c r="D57" s="253"/>
      <c r="E57" s="334"/>
      <c r="F57" s="280"/>
      <c r="G57" s="77">
        <v>2</v>
      </c>
      <c r="H57" s="124" t="s">
        <v>376</v>
      </c>
      <c r="I57" s="239"/>
      <c r="J57" s="280"/>
      <c r="K57" s="312"/>
      <c r="L57" s="292"/>
      <c r="M57" s="439"/>
      <c r="N57" s="439"/>
    </row>
    <row r="58" spans="2:14" ht="0.4" customHeight="1">
      <c r="B58" s="296"/>
      <c r="C58" s="250"/>
      <c r="D58" s="253"/>
      <c r="E58" s="334"/>
      <c r="F58" s="280"/>
      <c r="G58" s="77">
        <v>3</v>
      </c>
      <c r="H58" s="77"/>
      <c r="I58" s="239"/>
      <c r="J58" s="280"/>
      <c r="K58" s="312"/>
      <c r="L58" s="292"/>
      <c r="M58" s="439"/>
      <c r="N58" s="439"/>
    </row>
    <row r="59" spans="2:14" ht="21.4" hidden="1" customHeight="1" thickBot="1">
      <c r="B59" s="296"/>
      <c r="C59" s="250"/>
      <c r="D59" s="253"/>
      <c r="E59" s="334"/>
      <c r="F59" s="280"/>
      <c r="G59" s="77">
        <v>4</v>
      </c>
      <c r="H59" s="77"/>
      <c r="I59" s="239"/>
      <c r="J59" s="280"/>
      <c r="K59" s="312"/>
      <c r="L59" s="292"/>
      <c r="M59" s="439"/>
      <c r="N59" s="439"/>
    </row>
    <row r="60" spans="2:14" ht="21.4" hidden="1" customHeight="1" thickBot="1">
      <c r="B60" s="296"/>
      <c r="C60" s="250"/>
      <c r="D60" s="253"/>
      <c r="E60" s="334"/>
      <c r="F60" s="280"/>
      <c r="G60" s="77">
        <v>5</v>
      </c>
      <c r="H60" s="77"/>
      <c r="I60" s="239"/>
      <c r="J60" s="280"/>
      <c r="K60" s="312"/>
      <c r="L60" s="292"/>
      <c r="M60" s="439"/>
      <c r="N60" s="439"/>
    </row>
    <row r="61" spans="2:14" ht="21.4" hidden="1" customHeight="1" thickBot="1">
      <c r="B61" s="296"/>
      <c r="C61" s="250"/>
      <c r="D61" s="253"/>
      <c r="E61" s="334"/>
      <c r="F61" s="280"/>
      <c r="G61" s="77">
        <v>6</v>
      </c>
      <c r="H61" s="77"/>
      <c r="I61" s="239"/>
      <c r="J61" s="280"/>
      <c r="K61" s="312"/>
      <c r="L61" s="292"/>
      <c r="M61" s="439"/>
      <c r="N61" s="439"/>
    </row>
    <row r="62" spans="2:14" ht="21.4" hidden="1" customHeight="1" thickBot="1">
      <c r="B62" s="296"/>
      <c r="C62" s="250"/>
      <c r="D62" s="253"/>
      <c r="E62" s="334"/>
      <c r="F62" s="280"/>
      <c r="G62" s="77">
        <v>7</v>
      </c>
      <c r="H62" s="77"/>
      <c r="I62" s="239"/>
      <c r="J62" s="280"/>
      <c r="K62" s="312"/>
      <c r="L62" s="292"/>
      <c r="M62" s="439"/>
      <c r="N62" s="439"/>
    </row>
    <row r="63" spans="2:14" ht="238.15" customHeight="1" thickBot="1">
      <c r="B63" s="297"/>
      <c r="C63" s="251"/>
      <c r="D63" s="254"/>
      <c r="E63" s="335"/>
      <c r="F63" s="281"/>
      <c r="G63" s="81">
        <v>8</v>
      </c>
      <c r="H63" s="139" t="s">
        <v>383</v>
      </c>
      <c r="I63" s="240"/>
      <c r="J63" s="281"/>
      <c r="K63" s="313"/>
      <c r="L63" s="292"/>
      <c r="M63" s="439"/>
      <c r="N63" s="439"/>
    </row>
    <row r="64" spans="2:14" ht="82.5">
      <c r="B64" s="295" t="str">
        <f>+LEFT(C64,4)</f>
        <v>11.3</v>
      </c>
      <c r="C64" s="249" t="s">
        <v>384</v>
      </c>
      <c r="D64" s="252" t="s">
        <v>385</v>
      </c>
      <c r="E64" s="333" t="s">
        <v>386</v>
      </c>
      <c r="F64" s="279">
        <v>3</v>
      </c>
      <c r="G64" s="82">
        <v>1</v>
      </c>
      <c r="H64" s="124" t="s">
        <v>359</v>
      </c>
      <c r="I64" s="236" t="s">
        <v>360</v>
      </c>
      <c r="J64" s="279">
        <v>3</v>
      </c>
      <c r="K64" s="311" t="str">
        <f t="shared" si="4"/>
        <v>Mantenimiento del control</v>
      </c>
      <c r="L64" s="292">
        <f t="shared" ref="L64" si="7">+IF(K64="",152,IF(K64="Deficiencia de control mayor (diseño y ejecución)",160,IF(K64="Deficiencia de control (diseño o ejecución)",180,IF(K64="Oportunidad de mejora",200,220))))</f>
        <v>220</v>
      </c>
      <c r="M64" s="439">
        <v>3.9653999999999998</v>
      </c>
      <c r="N64" s="439">
        <f>+L64+M64</f>
        <v>223.96539999999999</v>
      </c>
    </row>
    <row r="65" spans="2:14" ht="16.5">
      <c r="B65" s="296"/>
      <c r="C65" s="250"/>
      <c r="D65" s="253"/>
      <c r="E65" s="334"/>
      <c r="F65" s="280"/>
      <c r="G65" s="77">
        <v>2</v>
      </c>
      <c r="H65" s="124"/>
      <c r="I65" s="239"/>
      <c r="J65" s="280"/>
      <c r="K65" s="312"/>
      <c r="L65" s="292"/>
      <c r="M65" s="439"/>
      <c r="N65" s="439"/>
    </row>
    <row r="66" spans="2:14" ht="21.75" customHeight="1">
      <c r="B66" s="296"/>
      <c r="C66" s="250"/>
      <c r="D66" s="253"/>
      <c r="E66" s="334"/>
      <c r="F66" s="280"/>
      <c r="G66" s="77">
        <v>3</v>
      </c>
      <c r="H66" s="77"/>
      <c r="I66" s="239"/>
      <c r="J66" s="280"/>
      <c r="K66" s="312"/>
      <c r="L66" s="292"/>
      <c r="M66" s="439"/>
      <c r="N66" s="439"/>
    </row>
    <row r="67" spans="2:14" ht="21.75" customHeight="1">
      <c r="B67" s="296"/>
      <c r="C67" s="250"/>
      <c r="D67" s="253"/>
      <c r="E67" s="334"/>
      <c r="F67" s="280"/>
      <c r="G67" s="77">
        <v>4</v>
      </c>
      <c r="H67" s="77"/>
      <c r="I67" s="239"/>
      <c r="J67" s="280"/>
      <c r="K67" s="312"/>
      <c r="L67" s="292"/>
      <c r="M67" s="439"/>
      <c r="N67" s="439"/>
    </row>
    <row r="68" spans="2:14" ht="21.75" customHeight="1" thickBot="1">
      <c r="B68" s="296"/>
      <c r="C68" s="250"/>
      <c r="D68" s="253"/>
      <c r="E68" s="334"/>
      <c r="F68" s="280"/>
      <c r="G68" s="77">
        <v>5</v>
      </c>
      <c r="H68" s="77"/>
      <c r="I68" s="239"/>
      <c r="J68" s="280"/>
      <c r="K68" s="312"/>
      <c r="L68" s="292"/>
      <c r="M68" s="439"/>
      <c r="N68" s="439"/>
    </row>
    <row r="69" spans="2:14" ht="0.6" customHeight="1" thickBot="1">
      <c r="B69" s="296"/>
      <c r="C69" s="250"/>
      <c r="D69" s="253"/>
      <c r="E69" s="334"/>
      <c r="F69" s="280"/>
      <c r="G69" s="77">
        <v>6</v>
      </c>
      <c r="H69" s="77"/>
      <c r="I69" s="239"/>
      <c r="J69" s="280"/>
      <c r="K69" s="312"/>
      <c r="L69" s="292"/>
      <c r="M69" s="439"/>
      <c r="N69" s="439"/>
    </row>
    <row r="70" spans="2:14" ht="21.6" hidden="1" customHeight="1" thickBot="1">
      <c r="B70" s="296"/>
      <c r="C70" s="250"/>
      <c r="D70" s="253"/>
      <c r="E70" s="334"/>
      <c r="F70" s="280"/>
      <c r="G70" s="77">
        <v>7</v>
      </c>
      <c r="H70" s="77"/>
      <c r="I70" s="239"/>
      <c r="J70" s="280"/>
      <c r="K70" s="312"/>
      <c r="L70" s="292"/>
      <c r="M70" s="439"/>
      <c r="N70" s="439"/>
    </row>
    <row r="71" spans="2:14" ht="21.6" hidden="1" customHeight="1" thickBot="1">
      <c r="B71" s="297"/>
      <c r="C71" s="251"/>
      <c r="D71" s="254"/>
      <c r="E71" s="335"/>
      <c r="F71" s="281"/>
      <c r="G71" s="81">
        <v>8</v>
      </c>
      <c r="H71" s="81"/>
      <c r="I71" s="240"/>
      <c r="J71" s="281"/>
      <c r="K71" s="313"/>
      <c r="L71" s="292"/>
      <c r="M71" s="439"/>
      <c r="N71" s="439"/>
    </row>
    <row r="72" spans="2:14" ht="66">
      <c r="B72" s="295" t="str">
        <f>+LEFT(C72,4)</f>
        <v>11.4</v>
      </c>
      <c r="C72" s="249" t="s">
        <v>387</v>
      </c>
      <c r="D72" s="252" t="s">
        <v>388</v>
      </c>
      <c r="E72" s="333" t="s">
        <v>389</v>
      </c>
      <c r="F72" s="279">
        <v>3</v>
      </c>
      <c r="G72" s="82">
        <v>1</v>
      </c>
      <c r="H72" s="123" t="s">
        <v>284</v>
      </c>
      <c r="I72" s="236" t="s">
        <v>390</v>
      </c>
      <c r="J72" s="279">
        <v>2</v>
      </c>
      <c r="K72" s="311" t="str">
        <f t="shared" si="4"/>
        <v>Deficiencia de control (diseño o ejecución)</v>
      </c>
      <c r="L72" s="292">
        <f t="shared" ref="L72" si="8">+IF(K72="",152,IF(K72="Deficiencia de control mayor (diseño y ejecución)",160,IF(K72="Deficiencia de control (diseño o ejecución)",180,IF(K72="Oportunidad de mejora",200,220))))</f>
        <v>180</v>
      </c>
      <c r="M72" s="439">
        <v>4.0122999999999998</v>
      </c>
      <c r="N72" s="439">
        <f>+L72+M72</f>
        <v>184.01230000000001</v>
      </c>
    </row>
    <row r="73" spans="2:14" ht="16.5">
      <c r="B73" s="296"/>
      <c r="C73" s="250"/>
      <c r="D73" s="253"/>
      <c r="E73" s="334"/>
      <c r="F73" s="280"/>
      <c r="G73" s="77">
        <v>2</v>
      </c>
      <c r="H73" s="124"/>
      <c r="I73" s="239"/>
      <c r="J73" s="280"/>
      <c r="K73" s="312"/>
      <c r="L73" s="292"/>
      <c r="M73" s="439"/>
      <c r="N73" s="439"/>
    </row>
    <row r="74" spans="2:14" ht="16.5">
      <c r="B74" s="296"/>
      <c r="C74" s="250"/>
      <c r="D74" s="253"/>
      <c r="E74" s="334"/>
      <c r="F74" s="280"/>
      <c r="G74" s="77">
        <v>3</v>
      </c>
      <c r="H74" s="77"/>
      <c r="I74" s="239"/>
      <c r="J74" s="280"/>
      <c r="K74" s="312"/>
      <c r="L74" s="292"/>
      <c r="M74" s="439"/>
      <c r="N74" s="439"/>
    </row>
    <row r="75" spans="2:14" ht="16.5">
      <c r="B75" s="296"/>
      <c r="C75" s="250"/>
      <c r="D75" s="253"/>
      <c r="E75" s="334"/>
      <c r="F75" s="280"/>
      <c r="G75" s="77">
        <v>4</v>
      </c>
      <c r="H75" s="77"/>
      <c r="I75" s="239"/>
      <c r="J75" s="280"/>
      <c r="K75" s="312"/>
      <c r="L75" s="292"/>
      <c r="M75" s="439"/>
      <c r="N75" s="439"/>
    </row>
    <row r="76" spans="2:14" ht="16.5">
      <c r="B76" s="296"/>
      <c r="C76" s="250"/>
      <c r="D76" s="253"/>
      <c r="E76" s="334"/>
      <c r="F76" s="280"/>
      <c r="G76" s="77">
        <v>5</v>
      </c>
      <c r="H76" s="77"/>
      <c r="I76" s="239"/>
      <c r="J76" s="280"/>
      <c r="K76" s="312"/>
      <c r="L76" s="292"/>
      <c r="M76" s="439"/>
      <c r="N76" s="439"/>
    </row>
    <row r="77" spans="2:14" ht="16.5">
      <c r="B77" s="296"/>
      <c r="C77" s="250"/>
      <c r="D77" s="253"/>
      <c r="E77" s="334"/>
      <c r="F77" s="280"/>
      <c r="G77" s="77">
        <v>6</v>
      </c>
      <c r="H77" s="77"/>
      <c r="I77" s="239"/>
      <c r="J77" s="280"/>
      <c r="K77" s="312"/>
      <c r="L77" s="292"/>
      <c r="M77" s="439"/>
      <c r="N77" s="439"/>
    </row>
    <row r="78" spans="2:14" ht="16.5">
      <c r="B78" s="296"/>
      <c r="C78" s="250"/>
      <c r="D78" s="253"/>
      <c r="E78" s="334"/>
      <c r="F78" s="280"/>
      <c r="G78" s="77">
        <v>7</v>
      </c>
      <c r="H78" s="77"/>
      <c r="I78" s="239"/>
      <c r="J78" s="280"/>
      <c r="K78" s="312"/>
      <c r="L78" s="292"/>
      <c r="M78" s="439"/>
      <c r="N78" s="439"/>
    </row>
    <row r="79" spans="2:14" ht="17.25" thickBot="1">
      <c r="B79" s="297"/>
      <c r="C79" s="251"/>
      <c r="D79" s="254"/>
      <c r="E79" s="335"/>
      <c r="F79" s="281"/>
      <c r="G79" s="81">
        <v>8</v>
      </c>
      <c r="H79" s="81"/>
      <c r="I79" s="240"/>
      <c r="J79" s="281"/>
      <c r="K79" s="313"/>
      <c r="L79" s="292"/>
      <c r="M79" s="439"/>
      <c r="N79" s="439"/>
    </row>
    <row r="80" spans="2:14" ht="22.5" customHeight="1">
      <c r="B80" s="452"/>
      <c r="C80" s="452" t="s">
        <v>391</v>
      </c>
      <c r="D80" s="494" t="s">
        <v>8</v>
      </c>
      <c r="E80" s="497" t="s">
        <v>355</v>
      </c>
      <c r="F80" s="486" t="s">
        <v>262</v>
      </c>
      <c r="G80" s="490" t="s">
        <v>116</v>
      </c>
      <c r="H80" s="491"/>
      <c r="I80" s="491"/>
      <c r="J80" s="486" t="s">
        <v>356</v>
      </c>
      <c r="K80" s="462" t="s">
        <v>161</v>
      </c>
      <c r="L80" s="437"/>
      <c r="M80" s="437"/>
      <c r="N80" s="437"/>
    </row>
    <row r="81" spans="2:14" ht="22.5" customHeight="1">
      <c r="B81" s="453"/>
      <c r="C81" s="453"/>
      <c r="D81" s="495"/>
      <c r="E81" s="498"/>
      <c r="F81" s="486"/>
      <c r="G81" s="488" t="s">
        <v>13</v>
      </c>
      <c r="H81" s="492" t="s">
        <v>15</v>
      </c>
      <c r="I81" s="492" t="s">
        <v>17</v>
      </c>
      <c r="J81" s="486"/>
      <c r="K81" s="462"/>
      <c r="L81" s="437"/>
      <c r="M81" s="437"/>
      <c r="N81" s="437"/>
    </row>
    <row r="82" spans="2:14" ht="75" customHeight="1" thickBot="1">
      <c r="B82" s="454"/>
      <c r="C82" s="454"/>
      <c r="D82" s="496"/>
      <c r="E82" s="499"/>
      <c r="F82" s="487"/>
      <c r="G82" s="489"/>
      <c r="H82" s="493"/>
      <c r="I82" s="493"/>
      <c r="J82" s="487"/>
      <c r="K82" s="463"/>
      <c r="L82" s="437"/>
      <c r="M82" s="437"/>
      <c r="N82" s="437"/>
    </row>
    <row r="83" spans="2:14" ht="42" customHeight="1">
      <c r="B83" s="295" t="str">
        <f>+LEFT(C83,4)</f>
        <v>12.1</v>
      </c>
      <c r="C83" s="249" t="s">
        <v>392</v>
      </c>
      <c r="D83" s="252" t="s">
        <v>393</v>
      </c>
      <c r="E83" s="333" t="s">
        <v>394</v>
      </c>
      <c r="F83" s="279">
        <v>3</v>
      </c>
      <c r="G83" s="82">
        <v>1</v>
      </c>
      <c r="H83" s="123" t="s">
        <v>272</v>
      </c>
      <c r="I83" s="236" t="s">
        <v>395</v>
      </c>
      <c r="J83" s="279">
        <v>2</v>
      </c>
      <c r="K83" s="311" t="str">
        <f t="shared" ref="K83:K115" si="9">+IF(OR(ISBLANK(F83),ISBLANK(J83)),"",IF(OR(AND(F83=1,J83=1),AND(F83=1,J83=2),AND(F83=1,J83=3)),"Deficiencia de control mayor (diseño y ejecución)",IF(OR(AND(F83=2,J83=2),AND(F83=3,J83=1),AND(F83=3,J83=2),AND(F83=2,J83=1)),"Deficiencia de control (diseño o ejecución)",IF(AND(F83=2,J83=3),"Oportunidad de mejora","Mantenimiento del control"))))</f>
        <v>Deficiencia de control (diseño o ejecución)</v>
      </c>
      <c r="L83" s="292">
        <f t="shared" ref="L83" si="10">+IF(K83="",152,IF(K83="Deficiencia de control mayor (diseño y ejecución)",160,IF(K83="Deficiencia de control (diseño o ejecución)",180,IF(K83="Oportunidad de mejora",200,220))))</f>
        <v>180</v>
      </c>
      <c r="M83" s="439">
        <v>4.1235999999999997</v>
      </c>
      <c r="N83" s="439">
        <f>+L83+M83</f>
        <v>184.12360000000001</v>
      </c>
    </row>
    <row r="84" spans="2:14" ht="115.5">
      <c r="B84" s="296"/>
      <c r="C84" s="250"/>
      <c r="D84" s="253"/>
      <c r="E84" s="334"/>
      <c r="F84" s="280"/>
      <c r="G84" s="77">
        <v>2</v>
      </c>
      <c r="H84" s="135" t="s">
        <v>396</v>
      </c>
      <c r="I84" s="239"/>
      <c r="J84" s="280"/>
      <c r="K84" s="312"/>
      <c r="L84" s="292"/>
      <c r="M84" s="439"/>
      <c r="N84" s="439"/>
    </row>
    <row r="85" spans="2:14" ht="70.5" customHeight="1" thickBot="1">
      <c r="B85" s="296"/>
      <c r="C85" s="250"/>
      <c r="D85" s="253"/>
      <c r="E85" s="334"/>
      <c r="F85" s="280"/>
      <c r="G85" s="77">
        <v>3</v>
      </c>
      <c r="H85" s="124"/>
      <c r="I85" s="239"/>
      <c r="J85" s="280"/>
      <c r="K85" s="312"/>
      <c r="L85" s="292"/>
      <c r="M85" s="439"/>
      <c r="N85" s="439"/>
    </row>
    <row r="86" spans="2:14" ht="0.4" customHeight="1" thickBot="1">
      <c r="B86" s="296"/>
      <c r="C86" s="250"/>
      <c r="D86" s="253"/>
      <c r="E86" s="334"/>
      <c r="F86" s="280"/>
      <c r="G86" s="77">
        <v>4</v>
      </c>
      <c r="H86" s="77"/>
      <c r="I86" s="239"/>
      <c r="J86" s="280"/>
      <c r="K86" s="312"/>
      <c r="L86" s="292"/>
      <c r="M86" s="439"/>
      <c r="N86" s="439"/>
    </row>
    <row r="87" spans="2:14" ht="28.5" hidden="1" customHeight="1" thickBot="1">
      <c r="B87" s="296"/>
      <c r="C87" s="250"/>
      <c r="D87" s="253"/>
      <c r="E87" s="334"/>
      <c r="F87" s="280"/>
      <c r="G87" s="77">
        <v>5</v>
      </c>
      <c r="H87" s="77"/>
      <c r="I87" s="239"/>
      <c r="J87" s="280"/>
      <c r="K87" s="312"/>
      <c r="L87" s="292"/>
      <c r="M87" s="439"/>
      <c r="N87" s="439"/>
    </row>
    <row r="88" spans="2:14" ht="28.5" hidden="1" customHeight="1" thickBot="1">
      <c r="B88" s="296"/>
      <c r="C88" s="250"/>
      <c r="D88" s="253"/>
      <c r="E88" s="334"/>
      <c r="F88" s="280"/>
      <c r="G88" s="77">
        <v>6</v>
      </c>
      <c r="H88" s="77"/>
      <c r="I88" s="239"/>
      <c r="J88" s="280"/>
      <c r="K88" s="312"/>
      <c r="L88" s="292"/>
      <c r="M88" s="439"/>
      <c r="N88" s="439"/>
    </row>
    <row r="89" spans="2:14" ht="28.5" hidden="1" customHeight="1" thickBot="1">
      <c r="B89" s="296"/>
      <c r="C89" s="250"/>
      <c r="D89" s="253"/>
      <c r="E89" s="334"/>
      <c r="F89" s="280"/>
      <c r="G89" s="77">
        <v>7</v>
      </c>
      <c r="H89" s="77"/>
      <c r="I89" s="239"/>
      <c r="J89" s="280"/>
      <c r="K89" s="312"/>
      <c r="L89" s="292"/>
      <c r="M89" s="439"/>
      <c r="N89" s="439"/>
    </row>
    <row r="90" spans="2:14" ht="28.5" hidden="1" customHeight="1" thickBot="1">
      <c r="B90" s="297"/>
      <c r="C90" s="251"/>
      <c r="D90" s="254"/>
      <c r="E90" s="335"/>
      <c r="F90" s="281"/>
      <c r="G90" s="81">
        <v>8</v>
      </c>
      <c r="H90" s="81"/>
      <c r="I90" s="240"/>
      <c r="J90" s="281"/>
      <c r="K90" s="313"/>
      <c r="L90" s="292"/>
      <c r="M90" s="439"/>
      <c r="N90" s="439"/>
    </row>
    <row r="91" spans="2:14" ht="66">
      <c r="B91" s="295" t="str">
        <f>+LEFT(C91,4)</f>
        <v>12.2</v>
      </c>
      <c r="C91" s="249" t="s">
        <v>397</v>
      </c>
      <c r="D91" s="252" t="s">
        <v>398</v>
      </c>
      <c r="E91" s="333" t="s">
        <v>399</v>
      </c>
      <c r="F91" s="279">
        <v>3</v>
      </c>
      <c r="G91" s="82">
        <v>1</v>
      </c>
      <c r="H91" s="123" t="s">
        <v>284</v>
      </c>
      <c r="I91" s="236" t="s">
        <v>400</v>
      </c>
      <c r="J91" s="279">
        <v>3</v>
      </c>
      <c r="K91" s="311" t="str">
        <f t="shared" si="9"/>
        <v>Mantenimiento del control</v>
      </c>
      <c r="L91" s="292">
        <f t="shared" ref="L91" si="11">+IF(K91="",152,IF(K91="Deficiencia de control mayor (diseño y ejecución)",160,IF(K91="Deficiencia de control (diseño o ejecución)",180,IF(K91="Oportunidad de mejora",200,220))))</f>
        <v>220</v>
      </c>
      <c r="M91" s="439">
        <v>4.2365000000000004</v>
      </c>
      <c r="N91" s="507">
        <f>+L91+M91</f>
        <v>224.23650000000001</v>
      </c>
    </row>
    <row r="92" spans="2:14" ht="111" customHeight="1">
      <c r="B92" s="296"/>
      <c r="C92" s="250"/>
      <c r="D92" s="253"/>
      <c r="E92" s="334"/>
      <c r="F92" s="280"/>
      <c r="G92" s="77">
        <v>2</v>
      </c>
      <c r="H92" s="124" t="s">
        <v>401</v>
      </c>
      <c r="I92" s="239"/>
      <c r="J92" s="280"/>
      <c r="K92" s="312"/>
      <c r="L92" s="292"/>
      <c r="M92" s="439"/>
      <c r="N92" s="507"/>
    </row>
    <row r="93" spans="2:14" ht="1.1499999999999999" customHeight="1" thickBot="1">
      <c r="B93" s="296"/>
      <c r="C93" s="250"/>
      <c r="D93" s="253"/>
      <c r="E93" s="334"/>
      <c r="F93" s="280"/>
      <c r="G93" s="77">
        <v>3</v>
      </c>
      <c r="H93" s="77"/>
      <c r="I93" s="239"/>
      <c r="J93" s="280"/>
      <c r="K93" s="312"/>
      <c r="L93" s="292"/>
      <c r="M93" s="439"/>
      <c r="N93" s="507"/>
    </row>
    <row r="94" spans="2:14" ht="17.25" hidden="1" thickBot="1">
      <c r="B94" s="296"/>
      <c r="C94" s="250"/>
      <c r="D94" s="253"/>
      <c r="E94" s="334"/>
      <c r="F94" s="280"/>
      <c r="G94" s="77">
        <v>4</v>
      </c>
      <c r="H94" s="77"/>
      <c r="I94" s="239"/>
      <c r="J94" s="280"/>
      <c r="K94" s="312"/>
      <c r="L94" s="292"/>
      <c r="M94" s="439"/>
      <c r="N94" s="507"/>
    </row>
    <row r="95" spans="2:14" ht="17.25" hidden="1" thickBot="1">
      <c r="B95" s="296"/>
      <c r="C95" s="250"/>
      <c r="D95" s="253"/>
      <c r="E95" s="334"/>
      <c r="F95" s="280"/>
      <c r="G95" s="77">
        <v>5</v>
      </c>
      <c r="H95" s="77"/>
      <c r="I95" s="239"/>
      <c r="J95" s="280"/>
      <c r="K95" s="312"/>
      <c r="L95" s="292"/>
      <c r="M95" s="439"/>
      <c r="N95" s="507"/>
    </row>
    <row r="96" spans="2:14" ht="17.25" hidden="1" thickBot="1">
      <c r="B96" s="296"/>
      <c r="C96" s="250"/>
      <c r="D96" s="253"/>
      <c r="E96" s="334"/>
      <c r="F96" s="280"/>
      <c r="G96" s="77">
        <v>6</v>
      </c>
      <c r="H96" s="77"/>
      <c r="I96" s="239"/>
      <c r="J96" s="280"/>
      <c r="K96" s="312"/>
      <c r="L96" s="292"/>
      <c r="M96" s="439"/>
      <c r="N96" s="507"/>
    </row>
    <row r="97" spans="2:14" ht="17.25" hidden="1" thickBot="1">
      <c r="B97" s="296"/>
      <c r="C97" s="250"/>
      <c r="D97" s="253"/>
      <c r="E97" s="334"/>
      <c r="F97" s="280"/>
      <c r="G97" s="77">
        <v>7</v>
      </c>
      <c r="H97" s="77"/>
      <c r="I97" s="239"/>
      <c r="J97" s="280"/>
      <c r="K97" s="312"/>
      <c r="L97" s="292"/>
      <c r="M97" s="439"/>
      <c r="N97" s="507"/>
    </row>
    <row r="98" spans="2:14" ht="17.25" hidden="1" thickBot="1">
      <c r="B98" s="297"/>
      <c r="C98" s="251"/>
      <c r="D98" s="254"/>
      <c r="E98" s="335"/>
      <c r="F98" s="281"/>
      <c r="G98" s="81">
        <v>8</v>
      </c>
      <c r="H98" s="81"/>
      <c r="I98" s="240"/>
      <c r="J98" s="281"/>
      <c r="K98" s="313"/>
      <c r="L98" s="292"/>
      <c r="M98" s="439"/>
      <c r="N98" s="507"/>
    </row>
    <row r="99" spans="2:14" ht="66">
      <c r="B99" s="295" t="str">
        <f>+LEFT(C99,4)</f>
        <v>12.3</v>
      </c>
      <c r="C99" s="447" t="s">
        <v>402</v>
      </c>
      <c r="D99" s="252" t="s">
        <v>403</v>
      </c>
      <c r="E99" s="236" t="s">
        <v>404</v>
      </c>
      <c r="F99" s="279">
        <v>3</v>
      </c>
      <c r="G99" s="82">
        <v>1</v>
      </c>
      <c r="H99" s="123" t="s">
        <v>284</v>
      </c>
      <c r="I99" s="236" t="s">
        <v>405</v>
      </c>
      <c r="J99" s="279">
        <v>2</v>
      </c>
      <c r="K99" s="311" t="str">
        <f t="shared" si="9"/>
        <v>Deficiencia de control (diseño o ejecución)</v>
      </c>
      <c r="L99" s="292">
        <f t="shared" ref="L99" si="12">+IF(K99="",152,IF(K99="Deficiencia de control mayor (diseño y ejecución)",160,IF(K99="Deficiencia de control (diseño o ejecución)",180,IF(K99="Oportunidad de mejora",200,220))))</f>
        <v>180</v>
      </c>
      <c r="M99" s="439">
        <v>4.2365599999999999</v>
      </c>
      <c r="N99" s="507">
        <f>+L99+M99</f>
        <v>184.23656</v>
      </c>
    </row>
    <row r="100" spans="2:14" ht="112.5" customHeight="1">
      <c r="B100" s="296"/>
      <c r="C100" s="448"/>
      <c r="D100" s="253"/>
      <c r="E100" s="239"/>
      <c r="F100" s="280"/>
      <c r="G100" s="77">
        <v>2</v>
      </c>
      <c r="H100" s="124" t="s">
        <v>406</v>
      </c>
      <c r="I100" s="239"/>
      <c r="J100" s="280"/>
      <c r="K100" s="312"/>
      <c r="L100" s="292"/>
      <c r="M100" s="439"/>
      <c r="N100" s="507"/>
    </row>
    <row r="101" spans="2:14" ht="115.5">
      <c r="B101" s="296"/>
      <c r="C101" s="448"/>
      <c r="D101" s="253"/>
      <c r="E101" s="239"/>
      <c r="F101" s="280"/>
      <c r="G101" s="77">
        <v>3</v>
      </c>
      <c r="H101" s="124" t="s">
        <v>407</v>
      </c>
      <c r="I101" s="239"/>
      <c r="J101" s="280"/>
      <c r="K101" s="312"/>
      <c r="L101" s="292"/>
      <c r="M101" s="439"/>
      <c r="N101" s="507"/>
    </row>
    <row r="102" spans="2:14" ht="0.4" customHeight="1">
      <c r="B102" s="296"/>
      <c r="C102" s="448"/>
      <c r="D102" s="253"/>
      <c r="E102" s="239"/>
      <c r="F102" s="280"/>
      <c r="G102" s="77">
        <v>4</v>
      </c>
      <c r="H102" s="77"/>
      <c r="I102" s="239"/>
      <c r="J102" s="280"/>
      <c r="K102" s="312"/>
      <c r="L102" s="292"/>
      <c r="M102" s="439"/>
      <c r="N102" s="507"/>
    </row>
    <row r="103" spans="2:14" ht="0.4" hidden="1" customHeight="1">
      <c r="B103" s="296"/>
      <c r="C103" s="448"/>
      <c r="D103" s="253"/>
      <c r="E103" s="239"/>
      <c r="F103" s="280"/>
      <c r="G103" s="77">
        <v>5</v>
      </c>
      <c r="H103" s="77"/>
      <c r="I103" s="239"/>
      <c r="J103" s="280"/>
      <c r="K103" s="312"/>
      <c r="L103" s="292"/>
      <c r="M103" s="439"/>
      <c r="N103" s="507"/>
    </row>
    <row r="104" spans="2:14" ht="31.5" hidden="1" customHeight="1">
      <c r="B104" s="296"/>
      <c r="C104" s="448"/>
      <c r="D104" s="253"/>
      <c r="E104" s="239"/>
      <c r="F104" s="280"/>
      <c r="G104" s="77">
        <v>6</v>
      </c>
      <c r="H104" s="77"/>
      <c r="I104" s="239"/>
      <c r="J104" s="280"/>
      <c r="K104" s="312"/>
      <c r="L104" s="292"/>
      <c r="M104" s="439"/>
      <c r="N104" s="507"/>
    </row>
    <row r="105" spans="2:14" ht="16.5" hidden="1">
      <c r="B105" s="296"/>
      <c r="C105" s="448"/>
      <c r="D105" s="253"/>
      <c r="E105" s="239"/>
      <c r="F105" s="280"/>
      <c r="G105" s="77">
        <v>7</v>
      </c>
      <c r="H105" s="77"/>
      <c r="I105" s="239"/>
      <c r="J105" s="280"/>
      <c r="K105" s="312"/>
      <c r="L105" s="292"/>
      <c r="M105" s="439"/>
      <c r="N105" s="507"/>
    </row>
    <row r="106" spans="2:14" ht="2.65" customHeight="1" thickBot="1">
      <c r="B106" s="297"/>
      <c r="C106" s="449"/>
      <c r="D106" s="254"/>
      <c r="E106" s="240"/>
      <c r="F106" s="281"/>
      <c r="G106" s="81">
        <v>8</v>
      </c>
      <c r="H106" s="81"/>
      <c r="I106" s="240"/>
      <c r="J106" s="281"/>
      <c r="K106" s="313"/>
      <c r="L106" s="292"/>
      <c r="M106" s="439"/>
      <c r="N106" s="507"/>
    </row>
    <row r="107" spans="2:14" ht="57" customHeight="1">
      <c r="B107" s="295" t="str">
        <f>+LEFT(C107,4)</f>
        <v>12.4</v>
      </c>
      <c r="C107" s="447" t="s">
        <v>408</v>
      </c>
      <c r="D107" s="252" t="s">
        <v>409</v>
      </c>
      <c r="E107" s="267" t="s">
        <v>410</v>
      </c>
      <c r="F107" s="279">
        <v>3</v>
      </c>
      <c r="G107" s="82">
        <v>1</v>
      </c>
      <c r="H107" s="123" t="s">
        <v>284</v>
      </c>
      <c r="I107" s="239" t="s">
        <v>411</v>
      </c>
      <c r="J107" s="279">
        <v>2</v>
      </c>
      <c r="K107" s="311" t="str">
        <f t="shared" si="9"/>
        <v>Deficiencia de control (diseño o ejecución)</v>
      </c>
      <c r="L107" s="292">
        <f t="shared" ref="L107" si="13">+IF(K107="",152,IF(K107="Deficiencia de control mayor (diseño y ejecución)",160,IF(K107="Deficiencia de control (diseño o ejecución)",180,IF(K107="Oportunidad de mejora",200,220))))</f>
        <v>180</v>
      </c>
      <c r="M107" s="439">
        <v>4.2365680000000001</v>
      </c>
      <c r="N107" s="507">
        <f>+L107+M107</f>
        <v>184.23656800000001</v>
      </c>
    </row>
    <row r="108" spans="2:14" ht="132">
      <c r="B108" s="296"/>
      <c r="C108" s="448"/>
      <c r="D108" s="253"/>
      <c r="E108" s="450"/>
      <c r="F108" s="280"/>
      <c r="G108" s="77">
        <v>2</v>
      </c>
      <c r="H108" s="124" t="s">
        <v>412</v>
      </c>
      <c r="I108" s="239"/>
      <c r="J108" s="280"/>
      <c r="K108" s="312"/>
      <c r="L108" s="292"/>
      <c r="M108" s="439"/>
      <c r="N108" s="507"/>
    </row>
    <row r="109" spans="2:14" ht="99">
      <c r="B109" s="296"/>
      <c r="C109" s="448"/>
      <c r="D109" s="253"/>
      <c r="E109" s="450"/>
      <c r="F109" s="280"/>
      <c r="G109" s="77">
        <v>3</v>
      </c>
      <c r="H109" s="124" t="s">
        <v>413</v>
      </c>
      <c r="I109" s="239"/>
      <c r="J109" s="280"/>
      <c r="K109" s="312"/>
      <c r="L109" s="292"/>
      <c r="M109" s="439"/>
      <c r="N109" s="507"/>
    </row>
    <row r="110" spans="2:14" ht="0.4" customHeight="1">
      <c r="B110" s="296"/>
      <c r="C110" s="448"/>
      <c r="D110" s="253"/>
      <c r="E110" s="450"/>
      <c r="F110" s="280"/>
      <c r="G110" s="77">
        <v>4</v>
      </c>
      <c r="H110" s="77"/>
      <c r="I110" s="239"/>
      <c r="J110" s="280"/>
      <c r="K110" s="312"/>
      <c r="L110" s="292"/>
      <c r="M110" s="439"/>
      <c r="N110" s="507"/>
    </row>
    <row r="111" spans="2:14" ht="17.25" hidden="1" thickBot="1">
      <c r="B111" s="296"/>
      <c r="C111" s="448"/>
      <c r="D111" s="253"/>
      <c r="E111" s="450"/>
      <c r="F111" s="280"/>
      <c r="G111" s="77">
        <v>5</v>
      </c>
      <c r="H111" s="77"/>
      <c r="I111" s="239"/>
      <c r="J111" s="280"/>
      <c r="K111" s="312"/>
      <c r="L111" s="292"/>
      <c r="M111" s="439"/>
      <c r="N111" s="507"/>
    </row>
    <row r="112" spans="2:14" ht="17.25" hidden="1" thickBot="1">
      <c r="B112" s="296"/>
      <c r="C112" s="448"/>
      <c r="D112" s="253"/>
      <c r="E112" s="450"/>
      <c r="F112" s="280"/>
      <c r="G112" s="77">
        <v>6</v>
      </c>
      <c r="H112" s="77"/>
      <c r="I112" s="239"/>
      <c r="J112" s="280"/>
      <c r="K112" s="312"/>
      <c r="L112" s="292"/>
      <c r="M112" s="439"/>
      <c r="N112" s="507"/>
    </row>
    <row r="113" spans="2:14" ht="17.25" hidden="1" thickBot="1">
      <c r="B113" s="296"/>
      <c r="C113" s="448"/>
      <c r="D113" s="253"/>
      <c r="E113" s="450"/>
      <c r="F113" s="280"/>
      <c r="G113" s="77">
        <v>7</v>
      </c>
      <c r="H113" s="77"/>
      <c r="I113" s="239"/>
      <c r="J113" s="280"/>
      <c r="K113" s="312"/>
      <c r="L113" s="292"/>
      <c r="M113" s="439"/>
      <c r="N113" s="507"/>
    </row>
    <row r="114" spans="2:14" ht="3" customHeight="1" thickBot="1">
      <c r="B114" s="297"/>
      <c r="C114" s="449"/>
      <c r="D114" s="254"/>
      <c r="E114" s="451"/>
      <c r="F114" s="281"/>
      <c r="G114" s="81">
        <v>8</v>
      </c>
      <c r="H114" s="81"/>
      <c r="I114" s="240"/>
      <c r="J114" s="281"/>
      <c r="K114" s="313"/>
      <c r="L114" s="292"/>
      <c r="M114" s="439"/>
      <c r="N114" s="507"/>
    </row>
    <row r="115" spans="2:14" ht="41.45" customHeight="1">
      <c r="B115" s="295" t="str">
        <f>+LEFT(C115,4)</f>
        <v>12.5</v>
      </c>
      <c r="C115" s="249" t="s">
        <v>414</v>
      </c>
      <c r="D115" s="252" t="s">
        <v>415</v>
      </c>
      <c r="E115" s="267" t="s">
        <v>416</v>
      </c>
      <c r="F115" s="279">
        <v>3</v>
      </c>
      <c r="G115" s="82">
        <v>1</v>
      </c>
      <c r="H115" s="123" t="s">
        <v>284</v>
      </c>
      <c r="I115" s="239" t="s">
        <v>411</v>
      </c>
      <c r="J115" s="279">
        <v>3</v>
      </c>
      <c r="K115" s="311" t="str">
        <f t="shared" si="9"/>
        <v>Mantenimiento del control</v>
      </c>
      <c r="L115" s="292">
        <f t="shared" ref="L115" si="14">+IF(K115="",152,IF(K115="Deficiencia de control mayor (diseño y ejecución)",160,IF(K115="Deficiencia de control (diseño o ejecución)",180,IF(K115="Oportunidad de mejora",200,220))))</f>
        <v>220</v>
      </c>
      <c r="M115" s="439">
        <v>4.3569000000000004</v>
      </c>
      <c r="N115" s="439">
        <f>+L115+M115</f>
        <v>224.3569</v>
      </c>
    </row>
    <row r="116" spans="2:14" ht="99">
      <c r="B116" s="296"/>
      <c r="C116" s="250"/>
      <c r="D116" s="253"/>
      <c r="E116" s="450"/>
      <c r="F116" s="280"/>
      <c r="G116" s="77">
        <v>2</v>
      </c>
      <c r="H116" s="124" t="s">
        <v>340</v>
      </c>
      <c r="I116" s="239"/>
      <c r="J116" s="280"/>
      <c r="K116" s="312"/>
      <c r="L116" s="292"/>
      <c r="M116" s="439"/>
      <c r="N116" s="439"/>
    </row>
    <row r="117" spans="2:14" ht="22.5" customHeight="1">
      <c r="B117" s="296"/>
      <c r="C117" s="250"/>
      <c r="D117" s="253"/>
      <c r="E117" s="450"/>
      <c r="F117" s="280"/>
      <c r="G117" s="77">
        <v>3</v>
      </c>
      <c r="H117" s="77"/>
      <c r="I117" s="239"/>
      <c r="J117" s="280"/>
      <c r="K117" s="312"/>
      <c r="L117" s="292"/>
      <c r="M117" s="439"/>
      <c r="N117" s="439"/>
    </row>
    <row r="118" spans="2:14" ht="22.5" customHeight="1">
      <c r="B118" s="296"/>
      <c r="C118" s="250"/>
      <c r="D118" s="253"/>
      <c r="E118" s="450"/>
      <c r="F118" s="280"/>
      <c r="G118" s="77">
        <v>4</v>
      </c>
      <c r="H118" s="77"/>
      <c r="I118" s="239"/>
      <c r="J118" s="280"/>
      <c r="K118" s="312"/>
      <c r="L118" s="292"/>
      <c r="M118" s="439"/>
      <c r="N118" s="439"/>
    </row>
    <row r="119" spans="2:14" ht="22.5" customHeight="1">
      <c r="B119" s="296"/>
      <c r="C119" s="250"/>
      <c r="D119" s="253"/>
      <c r="E119" s="450"/>
      <c r="F119" s="280"/>
      <c r="G119" s="77">
        <v>5</v>
      </c>
      <c r="H119" s="77"/>
      <c r="I119" s="239"/>
      <c r="J119" s="280"/>
      <c r="K119" s="312"/>
      <c r="L119" s="292"/>
      <c r="M119" s="439"/>
      <c r="N119" s="439"/>
    </row>
    <row r="120" spans="2:14" ht="22.5" customHeight="1">
      <c r="B120" s="296"/>
      <c r="C120" s="250"/>
      <c r="D120" s="253"/>
      <c r="E120" s="450"/>
      <c r="F120" s="280"/>
      <c r="G120" s="77">
        <v>6</v>
      </c>
      <c r="H120" s="77"/>
      <c r="I120" s="239"/>
      <c r="J120" s="280"/>
      <c r="K120" s="312"/>
      <c r="L120" s="292"/>
      <c r="M120" s="439"/>
      <c r="N120" s="439"/>
    </row>
    <row r="121" spans="2:14" ht="22.5" customHeight="1">
      <c r="B121" s="296"/>
      <c r="C121" s="250"/>
      <c r="D121" s="253"/>
      <c r="E121" s="450"/>
      <c r="F121" s="280"/>
      <c r="G121" s="77">
        <v>7</v>
      </c>
      <c r="H121" s="77"/>
      <c r="I121" s="239"/>
      <c r="J121" s="280"/>
      <c r="K121" s="312"/>
      <c r="L121" s="292"/>
      <c r="M121" s="439"/>
      <c r="N121" s="439"/>
    </row>
    <row r="122" spans="2:14" ht="52.15" customHeight="1" thickBot="1">
      <c r="B122" s="297"/>
      <c r="C122" s="251"/>
      <c r="D122" s="254"/>
      <c r="E122" s="451"/>
      <c r="F122" s="281"/>
      <c r="G122" s="81">
        <v>8</v>
      </c>
      <c r="H122" s="81"/>
      <c r="I122" s="240"/>
      <c r="J122" s="281"/>
      <c r="K122" s="313"/>
      <c r="L122" s="292"/>
      <c r="M122" s="439"/>
      <c r="N122" s="439"/>
    </row>
    <row r="123" spans="2:14" ht="22.5" customHeight="1">
      <c r="D123" s="64"/>
    </row>
    <row r="124" spans="2:14" ht="22.5" customHeight="1">
      <c r="D124" s="64"/>
    </row>
    <row r="125" spans="2:14" ht="22.5" customHeight="1">
      <c r="D125" s="64"/>
    </row>
    <row r="126" spans="2:14" ht="22.5" customHeight="1">
      <c r="D126" s="64"/>
    </row>
    <row r="127" spans="2:14" ht="22.5" customHeight="1">
      <c r="D127" s="64"/>
    </row>
    <row r="128" spans="2:14" ht="22.5" customHeight="1">
      <c r="D128" s="64"/>
    </row>
    <row r="129" spans="4:4" ht="22.5" customHeight="1">
      <c r="D129" s="64"/>
    </row>
    <row r="130" spans="4:4" ht="22.5" customHeight="1">
      <c r="D130" s="64"/>
    </row>
    <row r="131" spans="4:4" ht="22.5" customHeight="1">
      <c r="D131" s="64"/>
    </row>
    <row r="132" spans="4:4" ht="22.5" customHeight="1">
      <c r="D132" s="64"/>
    </row>
    <row r="133" spans="4:4" ht="22.5" customHeight="1">
      <c r="D133" s="64"/>
    </row>
    <row r="134" spans="4:4" ht="22.5" customHeight="1">
      <c r="D134" s="64"/>
    </row>
    <row r="135" spans="4:4" ht="22.5" customHeight="1">
      <c r="D135" s="64"/>
    </row>
    <row r="136" spans="4:4" ht="22.5" customHeight="1">
      <c r="D136" s="64"/>
    </row>
    <row r="137" spans="4:4" ht="22.5" customHeight="1">
      <c r="D137" s="64"/>
    </row>
    <row r="138" spans="4:4" ht="22.5" customHeight="1">
      <c r="D138" s="64"/>
    </row>
    <row r="139" spans="4:4" ht="22.5" customHeight="1">
      <c r="D139" s="64"/>
    </row>
    <row r="140" spans="4:4" ht="22.5" customHeight="1">
      <c r="D140" s="64"/>
    </row>
    <row r="141" spans="4:4" ht="22.5" customHeight="1">
      <c r="D141" s="64"/>
    </row>
    <row r="142" spans="4:4" ht="22.5" customHeight="1">
      <c r="D142" s="64"/>
    </row>
    <row r="143" spans="4:4" ht="22.5" customHeight="1">
      <c r="D143" s="64"/>
    </row>
    <row r="144" spans="4:4" ht="22.5" customHeight="1">
      <c r="D144" s="64"/>
    </row>
    <row r="145" spans="4:4" ht="22.5" customHeight="1">
      <c r="D145" s="64"/>
    </row>
    <row r="146" spans="4:4" ht="22.5" customHeight="1">
      <c r="D146" s="64"/>
    </row>
    <row r="147" spans="4:4" ht="22.5" customHeight="1">
      <c r="D147" s="64"/>
    </row>
    <row r="148" spans="4:4" ht="22.5" customHeight="1">
      <c r="D148" s="64"/>
    </row>
    <row r="149" spans="4:4" ht="22.5" customHeight="1">
      <c r="D149" s="64"/>
    </row>
    <row r="150" spans="4:4" ht="22.5" customHeight="1">
      <c r="D150" s="64"/>
    </row>
    <row r="151" spans="4:4" ht="22.5" customHeight="1">
      <c r="D151" s="64"/>
    </row>
    <row r="152" spans="4:4" ht="22.5" customHeight="1">
      <c r="D152" s="64"/>
    </row>
    <row r="153" spans="4:4" ht="22.5" customHeight="1">
      <c r="D153" s="64"/>
    </row>
    <row r="154" spans="4:4" ht="22.5" customHeight="1">
      <c r="D154" s="64"/>
    </row>
    <row r="155" spans="4:4" ht="22.5" customHeight="1">
      <c r="D155" s="64"/>
    </row>
    <row r="156" spans="4:4" ht="22.5" customHeight="1">
      <c r="D156" s="64"/>
    </row>
    <row r="157" spans="4:4" ht="22.5" customHeight="1">
      <c r="D157" s="64"/>
    </row>
    <row r="158" spans="4:4" ht="22.5" customHeight="1">
      <c r="D158" s="64"/>
    </row>
    <row r="159" spans="4:4" ht="22.5" customHeight="1">
      <c r="D159" s="64"/>
    </row>
    <row r="160" spans="4:4" ht="22.5" customHeight="1">
      <c r="D160" s="64"/>
    </row>
    <row r="161" spans="4:4" ht="22.5" customHeight="1">
      <c r="D161" s="64"/>
    </row>
    <row r="162" spans="4:4" ht="22.5" customHeight="1">
      <c r="D162" s="64"/>
    </row>
    <row r="163" spans="4:4" ht="22.5" customHeight="1">
      <c r="D163" s="64"/>
    </row>
    <row r="164" spans="4:4" ht="22.5" customHeight="1">
      <c r="D164" s="64"/>
    </row>
    <row r="165" spans="4:4" ht="22.5" customHeight="1">
      <c r="D165" s="64"/>
    </row>
    <row r="166" spans="4:4" ht="22.5" customHeight="1">
      <c r="D166" s="64"/>
    </row>
    <row r="167" spans="4:4" ht="22.5" customHeight="1">
      <c r="D167" s="64"/>
    </row>
    <row r="168" spans="4:4" ht="22.5" customHeight="1">
      <c r="D168" s="64"/>
    </row>
    <row r="169" spans="4:4" ht="22.5" customHeight="1">
      <c r="D169" s="64"/>
    </row>
    <row r="170" spans="4:4" ht="22.5" customHeight="1">
      <c r="D170" s="64"/>
    </row>
    <row r="171" spans="4:4" ht="22.5" customHeight="1">
      <c r="D171" s="64"/>
    </row>
    <row r="172" spans="4:4" ht="22.5" customHeight="1">
      <c r="D172" s="64"/>
    </row>
    <row r="173" spans="4:4" ht="22.5" customHeight="1">
      <c r="D173" s="64"/>
    </row>
    <row r="174" spans="4:4" ht="22.5" customHeight="1">
      <c r="D174" s="64"/>
    </row>
    <row r="175" spans="4:4" ht="22.5" customHeight="1">
      <c r="D175" s="64"/>
    </row>
    <row r="176" spans="4:4" ht="22.5" customHeight="1">
      <c r="D176" s="64"/>
    </row>
    <row r="177" spans="4:4" ht="22.5" customHeight="1">
      <c r="D177" s="64"/>
    </row>
    <row r="178" spans="4:4" ht="22.5" customHeight="1">
      <c r="D178" s="64"/>
    </row>
    <row r="179" spans="4:4" ht="22.5" customHeight="1">
      <c r="D179" s="64"/>
    </row>
    <row r="180" spans="4:4" ht="22.5" customHeight="1">
      <c r="D180" s="64"/>
    </row>
    <row r="181" spans="4:4" ht="22.5" customHeight="1">
      <c r="D181" s="64"/>
    </row>
    <row r="182" spans="4:4" ht="22.5" customHeight="1">
      <c r="D182" s="64"/>
    </row>
    <row r="183" spans="4:4" ht="22.5" customHeight="1">
      <c r="D183" s="64"/>
    </row>
    <row r="184" spans="4:4" ht="22.5" customHeight="1">
      <c r="D184" s="64"/>
    </row>
    <row r="185" spans="4:4" ht="22.5" customHeight="1">
      <c r="D185" s="64"/>
    </row>
    <row r="186" spans="4:4" ht="22.5" customHeight="1">
      <c r="D186" s="64"/>
    </row>
    <row r="187" spans="4:4" ht="22.5" customHeight="1">
      <c r="D187" s="64"/>
    </row>
    <row r="188" spans="4:4" ht="22.5" customHeight="1">
      <c r="D188" s="64"/>
    </row>
    <row r="189" spans="4:4" ht="22.5" customHeight="1">
      <c r="D189" s="64"/>
    </row>
    <row r="190" spans="4:4" ht="22.5" customHeight="1">
      <c r="D190" s="64"/>
    </row>
    <row r="191" spans="4:4" ht="22.5" customHeight="1">
      <c r="D191" s="64"/>
    </row>
    <row r="192" spans="4:4" ht="22.5" customHeight="1">
      <c r="D192" s="64"/>
    </row>
    <row r="193" spans="4:4" ht="22.5" customHeight="1">
      <c r="D193" s="64"/>
    </row>
    <row r="194" spans="4:4" ht="22.5" customHeight="1">
      <c r="D194" s="64"/>
    </row>
    <row r="195" spans="4:4" ht="22.5" customHeight="1">
      <c r="D195" s="64"/>
    </row>
    <row r="196" spans="4:4" ht="22.5" customHeight="1">
      <c r="D196" s="64"/>
    </row>
    <row r="197" spans="4:4" ht="22.5" customHeight="1">
      <c r="D197" s="64"/>
    </row>
    <row r="198" spans="4:4" ht="22.5" customHeight="1">
      <c r="D198" s="64"/>
    </row>
  </sheetData>
  <sheetProtection password="D72A" sheet="1" objects="1" scenarios="1" formatCells="0" formatColumns="0" formatRows="0"/>
  <autoFilter ref="C1:C122" xr:uid="{00000000-0009-0000-0000-000005000000}"/>
  <mergeCells count="176">
    <mergeCell ref="I115:I122"/>
    <mergeCell ref="K83:K90"/>
    <mergeCell ref="K91:K98"/>
    <mergeCell ref="K115:K122"/>
    <mergeCell ref="I29:I36"/>
    <mergeCell ref="I37:I44"/>
    <mergeCell ref="I48:I55"/>
    <mergeCell ref="I56:I63"/>
    <mergeCell ref="I64:I71"/>
    <mergeCell ref="I72:I79"/>
    <mergeCell ref="L107:L114"/>
    <mergeCell ref="M99:M106"/>
    <mergeCell ref="M107:M114"/>
    <mergeCell ref="I83:I90"/>
    <mergeCell ref="I91:I98"/>
    <mergeCell ref="N80:N82"/>
    <mergeCell ref="N83:N90"/>
    <mergeCell ref="N91:N98"/>
    <mergeCell ref="L80:L82"/>
    <mergeCell ref="L83:L90"/>
    <mergeCell ref="L91:L98"/>
    <mergeCell ref="N115:N122"/>
    <mergeCell ref="N18:N20"/>
    <mergeCell ref="N21:N28"/>
    <mergeCell ref="N29:N36"/>
    <mergeCell ref="N37:N44"/>
    <mergeCell ref="N45:N47"/>
    <mergeCell ref="N48:N55"/>
    <mergeCell ref="N56:N63"/>
    <mergeCell ref="N64:N71"/>
    <mergeCell ref="N72:N79"/>
    <mergeCell ref="N99:N106"/>
    <mergeCell ref="N107:N114"/>
    <mergeCell ref="L115:L122"/>
    <mergeCell ref="M18:M20"/>
    <mergeCell ref="M21:M28"/>
    <mergeCell ref="M29:M36"/>
    <mergeCell ref="M37:M44"/>
    <mergeCell ref="M45:M47"/>
    <mergeCell ref="M48:M55"/>
    <mergeCell ref="M56:M63"/>
    <mergeCell ref="M64:M71"/>
    <mergeCell ref="M72:M79"/>
    <mergeCell ref="M80:M82"/>
    <mergeCell ref="M83:M90"/>
    <mergeCell ref="M91:M98"/>
    <mergeCell ref="M115:M122"/>
    <mergeCell ref="L18:L20"/>
    <mergeCell ref="L21:L28"/>
    <mergeCell ref="L29:L36"/>
    <mergeCell ref="L37:L44"/>
    <mergeCell ref="L45:L47"/>
    <mergeCell ref="L48:L55"/>
    <mergeCell ref="L56:L63"/>
    <mergeCell ref="L64:L71"/>
    <mergeCell ref="L72:L79"/>
    <mergeCell ref="L99:L106"/>
    <mergeCell ref="C29:C36"/>
    <mergeCell ref="D29:D36"/>
    <mergeCell ref="E29:E36"/>
    <mergeCell ref="F29:F36"/>
    <mergeCell ref="J29:J36"/>
    <mergeCell ref="J48:J55"/>
    <mergeCell ref="C45:C47"/>
    <mergeCell ref="D45:D47"/>
    <mergeCell ref="E45:E47"/>
    <mergeCell ref="F45:F47"/>
    <mergeCell ref="G45:I45"/>
    <mergeCell ref="J45:J47"/>
    <mergeCell ref="G46:G47"/>
    <mergeCell ref="I46:I47"/>
    <mergeCell ref="C48:C55"/>
    <mergeCell ref="D48:D55"/>
    <mergeCell ref="E48:E55"/>
    <mergeCell ref="F48:F55"/>
    <mergeCell ref="C56:C63"/>
    <mergeCell ref="E56:E63"/>
    <mergeCell ref="D56:D63"/>
    <mergeCell ref="C64:C71"/>
    <mergeCell ref="D64:D71"/>
    <mergeCell ref="E64:E71"/>
    <mergeCell ref="C37:C44"/>
    <mergeCell ref="D37:D44"/>
    <mergeCell ref="E37:E44"/>
    <mergeCell ref="C115:C122"/>
    <mergeCell ref="D115:D122"/>
    <mergeCell ref="D80:D82"/>
    <mergeCell ref="C91:C98"/>
    <mergeCell ref="E91:E98"/>
    <mergeCell ref="C80:C82"/>
    <mergeCell ref="C83:C90"/>
    <mergeCell ref="E83:E90"/>
    <mergeCell ref="D72:D79"/>
    <mergeCell ref="D83:D90"/>
    <mergeCell ref="D91:D98"/>
    <mergeCell ref="E115:E122"/>
    <mergeCell ref="E80:E82"/>
    <mergeCell ref="C72:C79"/>
    <mergeCell ref="E72:E79"/>
    <mergeCell ref="C99:C106"/>
    <mergeCell ref="D99:D106"/>
    <mergeCell ref="E99:E106"/>
    <mergeCell ref="E18:E20"/>
    <mergeCell ref="J56:J63"/>
    <mergeCell ref="J115:J122"/>
    <mergeCell ref="F72:F79"/>
    <mergeCell ref="J72:J79"/>
    <mergeCell ref="J80:J82"/>
    <mergeCell ref="J83:J90"/>
    <mergeCell ref="J91:J98"/>
    <mergeCell ref="J64:J71"/>
    <mergeCell ref="F56:F63"/>
    <mergeCell ref="G81:G82"/>
    <mergeCell ref="G80:I80"/>
    <mergeCell ref="I81:I82"/>
    <mergeCell ref="F91:F98"/>
    <mergeCell ref="F80:F82"/>
    <mergeCell ref="F83:F90"/>
    <mergeCell ref="F115:F122"/>
    <mergeCell ref="F64:F71"/>
    <mergeCell ref="F37:F44"/>
    <mergeCell ref="J37:J44"/>
    <mergeCell ref="H19:H20"/>
    <mergeCell ref="H46:H47"/>
    <mergeCell ref="H81:H82"/>
    <mergeCell ref="I21:I28"/>
    <mergeCell ref="C15:K15"/>
    <mergeCell ref="C16:K16"/>
    <mergeCell ref="K48:K55"/>
    <mergeCell ref="K56:K63"/>
    <mergeCell ref="K64:K71"/>
    <mergeCell ref="K72:K79"/>
    <mergeCell ref="K80:K82"/>
    <mergeCell ref="K18:K20"/>
    <mergeCell ref="K21:K28"/>
    <mergeCell ref="K29:K36"/>
    <mergeCell ref="K37:K44"/>
    <mergeCell ref="K45:K47"/>
    <mergeCell ref="C21:C28"/>
    <mergeCell ref="E21:E28"/>
    <mergeCell ref="F21:F28"/>
    <mergeCell ref="G19:G20"/>
    <mergeCell ref="D21:D28"/>
    <mergeCell ref="J18:J20"/>
    <mergeCell ref="J21:J28"/>
    <mergeCell ref="C18:C20"/>
    <mergeCell ref="F18:F20"/>
    <mergeCell ref="D18:D20"/>
    <mergeCell ref="I19:I20"/>
    <mergeCell ref="G18:I18"/>
    <mergeCell ref="B83:B90"/>
    <mergeCell ref="B91:B98"/>
    <mergeCell ref="B115:B122"/>
    <mergeCell ref="B48:B55"/>
    <mergeCell ref="B56:B63"/>
    <mergeCell ref="B64:B71"/>
    <mergeCell ref="B72:B79"/>
    <mergeCell ref="B80:B82"/>
    <mergeCell ref="B18:B20"/>
    <mergeCell ref="B21:B28"/>
    <mergeCell ref="B29:B36"/>
    <mergeCell ref="B37:B44"/>
    <mergeCell ref="B45:B47"/>
    <mergeCell ref="B99:B106"/>
    <mergeCell ref="B107:B114"/>
    <mergeCell ref="F99:F106"/>
    <mergeCell ref="K99:K106"/>
    <mergeCell ref="C107:C114"/>
    <mergeCell ref="D107:D114"/>
    <mergeCell ref="E107:E114"/>
    <mergeCell ref="F107:F114"/>
    <mergeCell ref="I99:I106"/>
    <mergeCell ref="I107:I114"/>
    <mergeCell ref="J107:J114"/>
    <mergeCell ref="K107:K114"/>
    <mergeCell ref="J99:J106"/>
  </mergeCells>
  <dataValidations count="1">
    <dataValidation type="list" allowBlank="1" showInputMessage="1" showErrorMessage="1" sqref="J48:J79 J21:J44 F48:F79 F83:F122 F21:F44 J83:J122" xr:uid="{00000000-0002-0000-0500-000000000000}">
      <formula1>"1,2,3"</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499984740745262"/>
  </sheetPr>
  <dimension ref="A1:N138"/>
  <sheetViews>
    <sheetView showGridLines="0" topLeftCell="C35" zoomScaleNormal="100" workbookViewId="0">
      <selection activeCell="I131" sqref="I131:I138"/>
    </sheetView>
  </sheetViews>
  <sheetFormatPr defaultColWidth="9.28515625" defaultRowHeight="32.25" customHeight="1"/>
  <cols>
    <col min="1" max="1" width="2.5703125" style="9" customWidth="1"/>
    <col min="2" max="2" width="4.42578125" style="9" hidden="1" customWidth="1"/>
    <col min="3" max="4" width="37.7109375" style="9" customWidth="1"/>
    <col min="5" max="5" width="44.7109375" style="9" customWidth="1"/>
    <col min="6" max="6" width="7.42578125" style="9" customWidth="1"/>
    <col min="7" max="7" width="3.5703125" style="9" bestFit="1" customWidth="1"/>
    <col min="8" max="8" width="36.28515625" style="9" customWidth="1"/>
    <col min="9" max="9" width="39.5703125" style="9" customWidth="1"/>
    <col min="10" max="10" width="7.42578125" style="9" customWidth="1"/>
    <col min="11" max="11" width="10.28515625" style="9" customWidth="1"/>
    <col min="12" max="14" width="9.28515625" style="52"/>
    <col min="15" max="16384" width="9.28515625" style="9"/>
  </cols>
  <sheetData>
    <row r="1" spans="2:14" ht="16.5"/>
    <row r="2" spans="2:14" ht="16.5"/>
    <row r="3" spans="2:14" ht="16.5"/>
    <row r="4" spans="2:14" ht="16.5"/>
    <row r="5" spans="2:14" ht="16.5"/>
    <row r="6" spans="2:14" ht="16.5"/>
    <row r="7" spans="2:14" ht="16.5"/>
    <row r="9" spans="2:14" ht="16.5"/>
    <row r="11" spans="2:14" ht="16.5">
      <c r="C11" s="14"/>
      <c r="D11" s="14"/>
      <c r="E11" s="14"/>
      <c r="F11" s="14"/>
      <c r="G11" s="14"/>
      <c r="H11" s="14"/>
      <c r="I11" s="14"/>
    </row>
    <row r="12" spans="2:14" ht="26.25" customHeight="1">
      <c r="C12" s="518" t="s">
        <v>417</v>
      </c>
      <c r="D12" s="518"/>
      <c r="E12" s="518"/>
      <c r="F12" s="518"/>
      <c r="G12" s="518"/>
      <c r="H12" s="518"/>
      <c r="I12" s="518"/>
      <c r="J12" s="518"/>
      <c r="K12" s="518"/>
    </row>
    <row r="13" spans="2:14" ht="66.75" customHeight="1">
      <c r="C13" s="360" t="s">
        <v>418</v>
      </c>
      <c r="D13" s="360"/>
      <c r="E13" s="360"/>
      <c r="F13" s="360"/>
      <c r="G13" s="360"/>
      <c r="H13" s="360"/>
      <c r="I13" s="360"/>
      <c r="J13" s="360"/>
      <c r="K13" s="360"/>
    </row>
    <row r="14" spans="2:14" ht="16.5"/>
    <row r="15" spans="2:14" ht="12.75" customHeight="1">
      <c r="B15" s="511" t="s">
        <v>111</v>
      </c>
      <c r="C15" s="511" t="s">
        <v>419</v>
      </c>
      <c r="D15" s="527" t="s">
        <v>8</v>
      </c>
      <c r="E15" s="554" t="s">
        <v>114</v>
      </c>
      <c r="F15" s="541" t="s">
        <v>262</v>
      </c>
      <c r="G15" s="522" t="s">
        <v>116</v>
      </c>
      <c r="H15" s="522"/>
      <c r="I15" s="522"/>
      <c r="J15" s="541" t="s">
        <v>263</v>
      </c>
      <c r="K15" s="516" t="s">
        <v>161</v>
      </c>
      <c r="L15" s="438"/>
      <c r="M15" s="438"/>
      <c r="N15" s="438"/>
    </row>
    <row r="16" spans="2:14" ht="15" customHeight="1">
      <c r="B16" s="512"/>
      <c r="C16" s="512"/>
      <c r="D16" s="527"/>
      <c r="E16" s="555"/>
      <c r="F16" s="541"/>
      <c r="G16" s="522"/>
      <c r="H16" s="522"/>
      <c r="I16" s="522"/>
      <c r="J16" s="541"/>
      <c r="K16" s="516"/>
      <c r="L16" s="438"/>
      <c r="M16" s="438"/>
      <c r="N16" s="438"/>
    </row>
    <row r="17" spans="2:14" ht="27.75" customHeight="1">
      <c r="B17" s="512"/>
      <c r="C17" s="512"/>
      <c r="D17" s="527"/>
      <c r="E17" s="555"/>
      <c r="F17" s="541"/>
      <c r="G17" s="522" t="s">
        <v>13</v>
      </c>
      <c r="H17" s="527" t="s">
        <v>15</v>
      </c>
      <c r="I17" s="527" t="s">
        <v>17</v>
      </c>
      <c r="J17" s="541"/>
      <c r="K17" s="516"/>
      <c r="L17" s="438"/>
      <c r="M17" s="438"/>
      <c r="N17" s="438"/>
    </row>
    <row r="18" spans="2:14" ht="72" customHeight="1" thickBot="1">
      <c r="B18" s="512"/>
      <c r="C18" s="512"/>
      <c r="D18" s="527"/>
      <c r="E18" s="556"/>
      <c r="F18" s="541"/>
      <c r="G18" s="522"/>
      <c r="H18" s="522"/>
      <c r="I18" s="522"/>
      <c r="J18" s="541"/>
      <c r="K18" s="517"/>
      <c r="L18" s="438"/>
      <c r="M18" s="438"/>
      <c r="N18" s="438"/>
    </row>
    <row r="19" spans="2:14" ht="115.5">
      <c r="B19" s="295" t="str">
        <f>+LEFT(C19,4)</f>
        <v>13.1</v>
      </c>
      <c r="C19" s="523" t="s">
        <v>420</v>
      </c>
      <c r="D19" s="252" t="s">
        <v>421</v>
      </c>
      <c r="E19" s="333" t="s">
        <v>422</v>
      </c>
      <c r="F19" s="258">
        <v>3</v>
      </c>
      <c r="G19" s="82">
        <v>1</v>
      </c>
      <c r="H19" s="123" t="s">
        <v>423</v>
      </c>
      <c r="I19" s="236" t="s">
        <v>424</v>
      </c>
      <c r="J19" s="279">
        <v>3</v>
      </c>
      <c r="K19" s="311" t="str">
        <f t="shared" ref="K19" si="0">+IF(OR(ISBLANK(F19),ISBLANK(J19)),"",IF(OR(AND(F19=1,J19=1),AND(F19=1,J19=2),AND(F19=1,J19=3)),"Deficiencia de control mayor (diseño y ejecución)",IF(OR(AND(F19=2,J19=2),AND(F19=3,J19=1),AND(F19=3,J19=2),AND(F19=2,J19=1)),"Deficiencia de control (diseño o ejecución)",IF(AND(F19=2,J19=3),"Oportunidad de mejora","Mantenimiento del control"))))</f>
        <v>Mantenimiento del control</v>
      </c>
      <c r="L19" s="292">
        <f>+IF(K19="",231,IF(K19="Deficiencia de control mayor (diseño y ejecución)",240,IF(K19="Deficiencia de control (diseño o ejecución)",260,IF(K19="Oportunidad de mejora",280,300))))</f>
        <v>300</v>
      </c>
      <c r="M19" s="439">
        <v>4.4569000000000001</v>
      </c>
      <c r="N19" s="439">
        <f>+L19+M19</f>
        <v>304.45690000000002</v>
      </c>
    </row>
    <row r="20" spans="2:14" ht="115.9" customHeight="1">
      <c r="B20" s="296"/>
      <c r="C20" s="520"/>
      <c r="D20" s="253"/>
      <c r="E20" s="334"/>
      <c r="F20" s="259"/>
      <c r="G20" s="77">
        <v>2</v>
      </c>
      <c r="H20" s="124" t="s">
        <v>425</v>
      </c>
      <c r="I20" s="239"/>
      <c r="J20" s="280"/>
      <c r="K20" s="312"/>
      <c r="L20" s="292"/>
      <c r="M20" s="439"/>
      <c r="N20" s="439"/>
    </row>
    <row r="21" spans="2:14" ht="17.649999999999999" customHeight="1">
      <c r="B21" s="296"/>
      <c r="C21" s="520"/>
      <c r="D21" s="253"/>
      <c r="E21" s="334"/>
      <c r="F21" s="259"/>
      <c r="G21" s="77">
        <v>3</v>
      </c>
      <c r="H21" s="124"/>
      <c r="I21" s="239"/>
      <c r="J21" s="280"/>
      <c r="K21" s="312"/>
      <c r="L21" s="292"/>
      <c r="M21" s="439"/>
      <c r="N21" s="439"/>
    </row>
    <row r="22" spans="2:14" ht="1.1499999999999999" customHeight="1">
      <c r="B22" s="296"/>
      <c r="C22" s="520"/>
      <c r="D22" s="253"/>
      <c r="E22" s="334"/>
      <c r="F22" s="259"/>
      <c r="G22" s="77">
        <v>4</v>
      </c>
      <c r="H22" s="77"/>
      <c r="I22" s="239"/>
      <c r="J22" s="280"/>
      <c r="K22" s="312"/>
      <c r="L22" s="292"/>
      <c r="M22" s="439"/>
      <c r="N22" s="439"/>
    </row>
    <row r="23" spans="2:14" ht="17.25" hidden="1" thickBot="1">
      <c r="B23" s="296"/>
      <c r="C23" s="520"/>
      <c r="D23" s="253"/>
      <c r="E23" s="334"/>
      <c r="F23" s="259"/>
      <c r="G23" s="77">
        <v>5</v>
      </c>
      <c r="H23" s="77"/>
      <c r="I23" s="239"/>
      <c r="J23" s="280"/>
      <c r="K23" s="312"/>
      <c r="L23" s="292"/>
      <c r="M23" s="439"/>
      <c r="N23" s="439"/>
    </row>
    <row r="24" spans="2:14" ht="17.25" hidden="1" thickBot="1">
      <c r="B24" s="296"/>
      <c r="C24" s="520"/>
      <c r="D24" s="253"/>
      <c r="E24" s="334"/>
      <c r="F24" s="259"/>
      <c r="G24" s="77">
        <v>6</v>
      </c>
      <c r="H24" s="77"/>
      <c r="I24" s="239"/>
      <c r="J24" s="280"/>
      <c r="K24" s="312"/>
      <c r="L24" s="292"/>
      <c r="M24" s="439"/>
      <c r="N24" s="439"/>
    </row>
    <row r="25" spans="2:14" ht="17.25" hidden="1" thickBot="1">
      <c r="B25" s="296"/>
      <c r="C25" s="520"/>
      <c r="D25" s="253"/>
      <c r="E25" s="334"/>
      <c r="F25" s="259"/>
      <c r="G25" s="77">
        <v>7</v>
      </c>
      <c r="H25" s="77"/>
      <c r="I25" s="239"/>
      <c r="J25" s="280"/>
      <c r="K25" s="312"/>
      <c r="L25" s="292"/>
      <c r="M25" s="439"/>
      <c r="N25" s="439"/>
    </row>
    <row r="26" spans="2:14" ht="1.1499999999999999" customHeight="1" thickBot="1">
      <c r="B26" s="297"/>
      <c r="C26" s="521"/>
      <c r="D26" s="254"/>
      <c r="E26" s="335"/>
      <c r="F26" s="260"/>
      <c r="G26" s="81">
        <v>8</v>
      </c>
      <c r="H26" s="81"/>
      <c r="I26" s="240"/>
      <c r="J26" s="281"/>
      <c r="K26" s="313"/>
      <c r="L26" s="292"/>
      <c r="M26" s="439"/>
      <c r="N26" s="439"/>
    </row>
    <row r="27" spans="2:14" ht="127.5" customHeight="1">
      <c r="B27" s="295" t="str">
        <f>+LEFT(C27,4)</f>
        <v>13.2</v>
      </c>
      <c r="C27" s="519" t="s">
        <v>426</v>
      </c>
      <c r="D27" s="252" t="s">
        <v>427</v>
      </c>
      <c r="E27" s="333" t="s">
        <v>428</v>
      </c>
      <c r="F27" s="258">
        <v>3</v>
      </c>
      <c r="G27" s="82">
        <v>1</v>
      </c>
      <c r="H27" s="123" t="s">
        <v>429</v>
      </c>
      <c r="I27" s="236" t="s">
        <v>430</v>
      </c>
      <c r="J27" s="279">
        <v>3</v>
      </c>
      <c r="K27" s="311" t="str">
        <f t="shared" ref="K27:K43" si="1">+IF(OR(ISBLANK(F27),ISBLANK(J27)),"",IF(OR(AND(F27=1,J27=1),AND(F27=1,J27=2),AND(F27=1,J27=3)),"Deficiencia de control mayor (diseño y ejecución)",IF(OR(AND(F27=2,J27=2),AND(F27=3,J27=1),AND(F27=3,J27=2),AND(F27=2,J27=1)),"Deficiencia de control (diseño o ejecución)",IF(AND(F27=2,J27=3),"Oportunidad de mejora","Mantenimiento del control"))))</f>
        <v>Mantenimiento del control</v>
      </c>
      <c r="L27" s="292">
        <f t="shared" ref="L27" si="2">+IF(K27="",231,IF(K27="Deficiencia de control mayor (diseño y ejecución)",240,IF(K27="Deficiencia de control (diseño o ejecución)",260,IF(K27="Oportunidad de mejora",280,300))))</f>
        <v>300</v>
      </c>
      <c r="M27" s="439">
        <v>4.5632000000000001</v>
      </c>
      <c r="N27" s="439">
        <f>+L27+M27</f>
        <v>304.56319999999999</v>
      </c>
    </row>
    <row r="28" spans="2:14" ht="16.5">
      <c r="B28" s="296"/>
      <c r="C28" s="520"/>
      <c r="D28" s="253"/>
      <c r="E28" s="334"/>
      <c r="F28" s="259"/>
      <c r="G28" s="77">
        <v>2</v>
      </c>
      <c r="H28" s="124"/>
      <c r="I28" s="239"/>
      <c r="J28" s="280"/>
      <c r="K28" s="312"/>
      <c r="L28" s="292"/>
      <c r="M28" s="439"/>
      <c r="N28" s="439"/>
    </row>
    <row r="29" spans="2:14" ht="3" customHeight="1" thickBot="1">
      <c r="B29" s="296"/>
      <c r="C29" s="520"/>
      <c r="D29" s="253"/>
      <c r="E29" s="334"/>
      <c r="F29" s="259"/>
      <c r="G29" s="77">
        <v>3</v>
      </c>
      <c r="H29" s="138"/>
      <c r="I29" s="239"/>
      <c r="J29" s="280"/>
      <c r="K29" s="312"/>
      <c r="L29" s="292"/>
      <c r="M29" s="439"/>
      <c r="N29" s="439"/>
    </row>
    <row r="30" spans="2:14" ht="14.65" hidden="1" customHeight="1" thickBot="1">
      <c r="B30" s="296"/>
      <c r="C30" s="520"/>
      <c r="D30" s="253"/>
      <c r="E30" s="334"/>
      <c r="F30" s="259"/>
      <c r="G30" s="77">
        <v>4</v>
      </c>
      <c r="H30" s="77"/>
      <c r="I30" s="239"/>
      <c r="J30" s="280"/>
      <c r="K30" s="312"/>
      <c r="L30" s="292"/>
      <c r="M30" s="439"/>
      <c r="N30" s="439"/>
    </row>
    <row r="31" spans="2:14" ht="14.65" hidden="1" customHeight="1" thickBot="1">
      <c r="B31" s="296"/>
      <c r="C31" s="520"/>
      <c r="D31" s="253"/>
      <c r="E31" s="334"/>
      <c r="F31" s="259"/>
      <c r="G31" s="77">
        <v>5</v>
      </c>
      <c r="H31" s="77"/>
      <c r="I31" s="239"/>
      <c r="J31" s="280"/>
      <c r="K31" s="312"/>
      <c r="L31" s="292"/>
      <c r="M31" s="439"/>
      <c r="N31" s="439"/>
    </row>
    <row r="32" spans="2:14" ht="14.65" hidden="1" customHeight="1" thickBot="1">
      <c r="B32" s="296"/>
      <c r="C32" s="520"/>
      <c r="D32" s="253"/>
      <c r="E32" s="334"/>
      <c r="F32" s="259"/>
      <c r="G32" s="77">
        <v>6</v>
      </c>
      <c r="H32" s="77"/>
      <c r="I32" s="239"/>
      <c r="J32" s="280"/>
      <c r="K32" s="312"/>
      <c r="L32" s="292"/>
      <c r="M32" s="439"/>
      <c r="N32" s="439"/>
    </row>
    <row r="33" spans="1:14" ht="14.65" hidden="1" customHeight="1" thickBot="1">
      <c r="B33" s="296"/>
      <c r="C33" s="520"/>
      <c r="D33" s="253"/>
      <c r="E33" s="334"/>
      <c r="F33" s="259"/>
      <c r="G33" s="77">
        <v>7</v>
      </c>
      <c r="H33" s="77"/>
      <c r="I33" s="239"/>
      <c r="J33" s="280"/>
      <c r="K33" s="312"/>
      <c r="L33" s="292"/>
      <c r="M33" s="439"/>
      <c r="N33" s="439"/>
    </row>
    <row r="34" spans="1:14" ht="14.65" hidden="1" customHeight="1" thickBot="1">
      <c r="B34" s="297"/>
      <c r="C34" s="521"/>
      <c r="D34" s="254"/>
      <c r="E34" s="335"/>
      <c r="F34" s="260"/>
      <c r="G34" s="81">
        <v>8</v>
      </c>
      <c r="H34" s="81"/>
      <c r="I34" s="240"/>
      <c r="J34" s="281"/>
      <c r="K34" s="313"/>
      <c r="L34" s="292"/>
      <c r="M34" s="439"/>
      <c r="N34" s="439"/>
    </row>
    <row r="35" spans="1:14" ht="231">
      <c r="B35" s="295" t="str">
        <f>+LEFT(C35,4)</f>
        <v>13.3</v>
      </c>
      <c r="C35" s="524" t="s">
        <v>431</v>
      </c>
      <c r="D35" s="252" t="s">
        <v>427</v>
      </c>
      <c r="E35" s="333" t="s">
        <v>432</v>
      </c>
      <c r="F35" s="258">
        <v>3</v>
      </c>
      <c r="G35" s="82">
        <v>1</v>
      </c>
      <c r="H35" s="136" t="s">
        <v>433</v>
      </c>
      <c r="I35" s="236" t="s">
        <v>434</v>
      </c>
      <c r="J35" s="279">
        <v>3</v>
      </c>
      <c r="K35" s="311" t="str">
        <f t="shared" si="1"/>
        <v>Mantenimiento del control</v>
      </c>
      <c r="L35" s="292">
        <f t="shared" ref="L35" si="3">+IF(K35="",231,IF(K35="Deficiencia de control mayor (diseño y ejecución)",240,IF(K35="Deficiencia de control (diseño o ejecución)",260,IF(K35="Oportunidad de mejora",280,300))))</f>
        <v>300</v>
      </c>
      <c r="M35" s="439">
        <v>4.6321000000000003</v>
      </c>
      <c r="N35" s="439">
        <f>+L35+M35</f>
        <v>304.63209999999998</v>
      </c>
    </row>
    <row r="36" spans="1:14" ht="118.15" customHeight="1">
      <c r="B36" s="296"/>
      <c r="C36" s="525"/>
      <c r="D36" s="253"/>
      <c r="E36" s="341"/>
      <c r="F36" s="259"/>
      <c r="G36" s="77">
        <v>2</v>
      </c>
      <c r="H36" s="124" t="s">
        <v>429</v>
      </c>
      <c r="I36" s="239"/>
      <c r="J36" s="280"/>
      <c r="K36" s="312"/>
      <c r="L36" s="292"/>
      <c r="M36" s="439"/>
      <c r="N36" s="439"/>
    </row>
    <row r="37" spans="1:14" ht="215.65" customHeight="1">
      <c r="B37" s="296"/>
      <c r="C37" s="525"/>
      <c r="D37" s="253"/>
      <c r="E37" s="341"/>
      <c r="F37" s="259"/>
      <c r="G37" s="77">
        <v>3</v>
      </c>
      <c r="H37" s="124" t="s">
        <v>383</v>
      </c>
      <c r="I37" s="239"/>
      <c r="J37" s="280"/>
      <c r="K37" s="312"/>
      <c r="L37" s="292"/>
      <c r="M37" s="439"/>
      <c r="N37" s="439"/>
    </row>
    <row r="38" spans="1:14" ht="158.65" customHeight="1">
      <c r="B38" s="296"/>
      <c r="C38" s="525"/>
      <c r="D38" s="253"/>
      <c r="E38" s="341"/>
      <c r="F38" s="259"/>
      <c r="G38" s="77">
        <v>4</v>
      </c>
      <c r="H38" s="124" t="s">
        <v>435</v>
      </c>
      <c r="I38" s="239"/>
      <c r="J38" s="280"/>
      <c r="K38" s="312"/>
      <c r="L38" s="292"/>
      <c r="M38" s="439"/>
      <c r="N38" s="439"/>
    </row>
    <row r="39" spans="1:14" ht="148.5">
      <c r="B39" s="296"/>
      <c r="C39" s="525"/>
      <c r="D39" s="253"/>
      <c r="E39" s="341"/>
      <c r="F39" s="259"/>
      <c r="G39" s="77">
        <v>5</v>
      </c>
      <c r="H39" s="124" t="s">
        <v>436</v>
      </c>
      <c r="I39" s="239"/>
      <c r="J39" s="280"/>
      <c r="K39" s="312"/>
      <c r="L39" s="292"/>
      <c r="M39" s="439"/>
      <c r="N39" s="439"/>
    </row>
    <row r="40" spans="1:14" ht="1.1499999999999999" customHeight="1" thickBot="1">
      <c r="B40" s="296"/>
      <c r="C40" s="525"/>
      <c r="D40" s="253"/>
      <c r="E40" s="341"/>
      <c r="F40" s="259"/>
      <c r="G40" s="77">
        <v>6</v>
      </c>
      <c r="H40" s="77"/>
      <c r="I40" s="239"/>
      <c r="J40" s="280"/>
      <c r="K40" s="312"/>
      <c r="L40" s="292"/>
      <c r="M40" s="439"/>
      <c r="N40" s="439"/>
    </row>
    <row r="41" spans="1:14" ht="40.5" hidden="1" customHeight="1" thickBot="1">
      <c r="B41" s="296"/>
      <c r="C41" s="525"/>
      <c r="D41" s="253"/>
      <c r="E41" s="341"/>
      <c r="F41" s="259"/>
      <c r="G41" s="77">
        <v>7</v>
      </c>
      <c r="H41" s="77"/>
      <c r="I41" s="239"/>
      <c r="J41" s="280"/>
      <c r="K41" s="312"/>
      <c r="L41" s="292"/>
      <c r="M41" s="439"/>
      <c r="N41" s="439"/>
    </row>
    <row r="42" spans="1:14" ht="58.15" hidden="1" customHeight="1" thickBot="1">
      <c r="B42" s="297"/>
      <c r="C42" s="526"/>
      <c r="D42" s="254"/>
      <c r="E42" s="342"/>
      <c r="F42" s="260"/>
      <c r="G42" s="81">
        <v>8</v>
      </c>
      <c r="H42" s="81"/>
      <c r="I42" s="240"/>
      <c r="J42" s="281"/>
      <c r="K42" s="313"/>
      <c r="L42" s="292"/>
      <c r="M42" s="439"/>
      <c r="N42" s="439"/>
    </row>
    <row r="43" spans="1:14" ht="99">
      <c r="A43" s="557"/>
      <c r="B43" s="295" t="str">
        <f>+LEFT(C43,4)</f>
        <v>13.4</v>
      </c>
      <c r="C43" s="531" t="s">
        <v>437</v>
      </c>
      <c r="D43" s="252" t="s">
        <v>427</v>
      </c>
      <c r="E43" s="333" t="s">
        <v>438</v>
      </c>
      <c r="F43" s="258">
        <v>3</v>
      </c>
      <c r="G43" s="82">
        <v>1</v>
      </c>
      <c r="H43" s="123" t="s">
        <v>439</v>
      </c>
      <c r="I43" s="236" t="s">
        <v>440</v>
      </c>
      <c r="J43" s="279">
        <v>3</v>
      </c>
      <c r="K43" s="311" t="str">
        <f t="shared" si="1"/>
        <v>Mantenimiento del control</v>
      </c>
      <c r="L43" s="292">
        <f t="shared" ref="L43" si="4">+IF(K43="",231,IF(K43="Deficiencia de control mayor (diseño y ejecución)",240,IF(K43="Deficiencia de control (diseño o ejecución)",260,IF(K43="Oportunidad de mejora",280,300))))</f>
        <v>300</v>
      </c>
      <c r="M43" s="439">
        <v>4.7896000000000001</v>
      </c>
      <c r="N43" s="439">
        <f>+L43+M43</f>
        <v>304.78960000000001</v>
      </c>
    </row>
    <row r="44" spans="1:14" ht="82.9" customHeight="1">
      <c r="A44" s="557"/>
      <c r="B44" s="296"/>
      <c r="C44" s="532"/>
      <c r="D44" s="253"/>
      <c r="E44" s="341"/>
      <c r="F44" s="259"/>
      <c r="G44" s="77">
        <v>2</v>
      </c>
      <c r="H44" s="124"/>
      <c r="I44" s="239"/>
      <c r="J44" s="280"/>
      <c r="K44" s="312"/>
      <c r="L44" s="292"/>
      <c r="M44" s="439"/>
      <c r="N44" s="439"/>
    </row>
    <row r="45" spans="1:14" ht="1.1499999999999999" customHeight="1">
      <c r="B45" s="296"/>
      <c r="C45" s="532"/>
      <c r="D45" s="253"/>
      <c r="E45" s="341"/>
      <c r="F45" s="259"/>
      <c r="G45" s="77">
        <v>3</v>
      </c>
      <c r="H45" s="77"/>
      <c r="I45" s="239"/>
      <c r="J45" s="280"/>
      <c r="K45" s="312"/>
      <c r="L45" s="292"/>
      <c r="M45" s="439"/>
      <c r="N45" s="439"/>
    </row>
    <row r="46" spans="1:14" ht="13.9" hidden="1" customHeight="1">
      <c r="B46" s="296"/>
      <c r="C46" s="532"/>
      <c r="D46" s="253"/>
      <c r="E46" s="341"/>
      <c r="F46" s="259"/>
      <c r="G46" s="77">
        <v>4</v>
      </c>
      <c r="H46" s="77"/>
      <c r="I46" s="239"/>
      <c r="J46" s="280"/>
      <c r="K46" s="312"/>
      <c r="L46" s="292"/>
      <c r="M46" s="439"/>
      <c r="N46" s="439"/>
    </row>
    <row r="47" spans="1:14" ht="13.9" hidden="1" customHeight="1">
      <c r="B47" s="296"/>
      <c r="C47" s="532"/>
      <c r="D47" s="253"/>
      <c r="E47" s="341"/>
      <c r="F47" s="259"/>
      <c r="G47" s="77">
        <v>5</v>
      </c>
      <c r="H47" s="77"/>
      <c r="I47" s="239"/>
      <c r="J47" s="280"/>
      <c r="K47" s="312"/>
      <c r="L47" s="292"/>
      <c r="M47" s="439"/>
      <c r="N47" s="439"/>
    </row>
    <row r="48" spans="1:14" ht="13.9" hidden="1" customHeight="1">
      <c r="B48" s="296"/>
      <c r="C48" s="532"/>
      <c r="D48" s="253"/>
      <c r="E48" s="341"/>
      <c r="F48" s="259"/>
      <c r="G48" s="77">
        <v>6</v>
      </c>
      <c r="H48" s="77"/>
      <c r="I48" s="239"/>
      <c r="J48" s="280"/>
      <c r="K48" s="312"/>
      <c r="L48" s="292"/>
      <c r="M48" s="439"/>
      <c r="N48" s="439"/>
    </row>
    <row r="49" spans="2:14" ht="13.9" hidden="1" customHeight="1">
      <c r="B49" s="296"/>
      <c r="C49" s="532"/>
      <c r="D49" s="253"/>
      <c r="E49" s="341"/>
      <c r="F49" s="259"/>
      <c r="G49" s="77">
        <v>7</v>
      </c>
      <c r="H49" s="77"/>
      <c r="I49" s="239"/>
      <c r="J49" s="280"/>
      <c r="K49" s="312"/>
      <c r="L49" s="292"/>
      <c r="M49" s="439"/>
      <c r="N49" s="439"/>
    </row>
    <row r="50" spans="2:14" ht="14.45" hidden="1" customHeight="1" thickBot="1">
      <c r="B50" s="297"/>
      <c r="C50" s="533"/>
      <c r="D50" s="254"/>
      <c r="E50" s="342"/>
      <c r="F50" s="260"/>
      <c r="G50" s="81">
        <v>8</v>
      </c>
      <c r="H50" s="81"/>
      <c r="I50" s="240"/>
      <c r="J50" s="281"/>
      <c r="K50" s="313"/>
      <c r="L50" s="292"/>
      <c r="M50" s="439"/>
      <c r="N50" s="439"/>
    </row>
    <row r="51" spans="2:14" ht="12.75" customHeight="1">
      <c r="B51" s="513"/>
      <c r="C51" s="513" t="s">
        <v>441</v>
      </c>
      <c r="D51" s="527" t="s">
        <v>8</v>
      </c>
      <c r="E51" s="558" t="s">
        <v>114</v>
      </c>
      <c r="F51" s="530" t="s">
        <v>262</v>
      </c>
      <c r="G51" s="529" t="s">
        <v>116</v>
      </c>
      <c r="H51" s="529"/>
      <c r="I51" s="529"/>
      <c r="J51" s="530" t="s">
        <v>263</v>
      </c>
      <c r="K51" s="514" t="s">
        <v>161</v>
      </c>
      <c r="L51" s="437"/>
      <c r="M51" s="437"/>
      <c r="N51" s="437"/>
    </row>
    <row r="52" spans="2:14" ht="15" customHeight="1">
      <c r="B52" s="512"/>
      <c r="C52" s="512"/>
      <c r="D52" s="527"/>
      <c r="E52" s="559"/>
      <c r="F52" s="530"/>
      <c r="G52" s="529"/>
      <c r="H52" s="529"/>
      <c r="I52" s="529"/>
      <c r="J52" s="530"/>
      <c r="K52" s="514"/>
      <c r="L52" s="437"/>
      <c r="M52" s="437"/>
      <c r="N52" s="437"/>
    </row>
    <row r="53" spans="2:14" ht="27.75" customHeight="1">
      <c r="B53" s="512"/>
      <c r="C53" s="512"/>
      <c r="D53" s="527"/>
      <c r="E53" s="559"/>
      <c r="F53" s="530"/>
      <c r="G53" s="529" t="s">
        <v>13</v>
      </c>
      <c r="H53" s="528" t="s">
        <v>15</v>
      </c>
      <c r="I53" s="528" t="s">
        <v>17</v>
      </c>
      <c r="J53" s="530"/>
      <c r="K53" s="514"/>
      <c r="L53" s="437"/>
      <c r="M53" s="437"/>
      <c r="N53" s="437"/>
    </row>
    <row r="54" spans="2:14" ht="87.75" customHeight="1" thickBot="1">
      <c r="B54" s="512"/>
      <c r="C54" s="512"/>
      <c r="D54" s="527"/>
      <c r="E54" s="560"/>
      <c r="F54" s="530"/>
      <c r="G54" s="529"/>
      <c r="H54" s="529"/>
      <c r="I54" s="529"/>
      <c r="J54" s="530"/>
      <c r="K54" s="515"/>
      <c r="L54" s="437"/>
      <c r="M54" s="437"/>
      <c r="N54" s="437"/>
    </row>
    <row r="55" spans="2:14" ht="82.5">
      <c r="B55" s="295" t="str">
        <f>+LEFT(C55,4)</f>
        <v>14.1</v>
      </c>
      <c r="C55" s="551" t="s">
        <v>442</v>
      </c>
      <c r="D55" s="252" t="s">
        <v>443</v>
      </c>
      <c r="E55" s="333" t="s">
        <v>444</v>
      </c>
      <c r="F55" s="258">
        <v>3</v>
      </c>
      <c r="G55" s="82">
        <v>1</v>
      </c>
      <c r="H55" s="136" t="s">
        <v>445</v>
      </c>
      <c r="I55" s="267" t="s">
        <v>446</v>
      </c>
      <c r="J55" s="279">
        <v>2</v>
      </c>
      <c r="K55" s="311" t="str">
        <f t="shared" ref="K55:K79" si="5">+IF(OR(ISBLANK(F55),ISBLANK(J55)),"",IF(OR(AND(F55=1,J55=1),AND(F55=1,J55=2),AND(F55=1,J55=3)),"Deficiencia de control mayor (diseño y ejecución)",IF(OR(AND(F55=2,J55=2),AND(F55=3,J55=1),AND(F55=3,J55=2),AND(F55=2,J55=1)),"Deficiencia de control (diseño o ejecución)",IF(AND(F55=2,J55=3),"Oportunidad de mejora","Mantenimiento del control"))))</f>
        <v>Deficiencia de control (diseño o ejecución)</v>
      </c>
      <c r="L55" s="292">
        <f t="shared" ref="L55" si="6">+IF(K55="",231,IF(K55="Deficiencia de control mayor (diseño y ejecución)",240,IF(K55="Deficiencia de control (diseño o ejecución)",260,IF(K55="Oportunidad de mejora",280,300))))</f>
        <v>260</v>
      </c>
      <c r="M55" s="439">
        <v>4.8964999999999996</v>
      </c>
      <c r="N55" s="439">
        <f>+L55+M55</f>
        <v>264.8965</v>
      </c>
    </row>
    <row r="56" spans="2:14" ht="55.15" customHeight="1">
      <c r="B56" s="296"/>
      <c r="C56" s="552"/>
      <c r="D56" s="253"/>
      <c r="E56" s="334"/>
      <c r="F56" s="259"/>
      <c r="G56" s="77">
        <v>2</v>
      </c>
      <c r="H56" s="124" t="s">
        <v>447</v>
      </c>
      <c r="I56" s="450"/>
      <c r="J56" s="280"/>
      <c r="K56" s="312"/>
      <c r="L56" s="292"/>
      <c r="M56" s="439"/>
      <c r="N56" s="439"/>
    </row>
    <row r="57" spans="2:14" ht="115.5">
      <c r="B57" s="296"/>
      <c r="C57" s="552"/>
      <c r="D57" s="253"/>
      <c r="E57" s="334"/>
      <c r="F57" s="259"/>
      <c r="G57" s="77">
        <v>3</v>
      </c>
      <c r="H57" s="135" t="s">
        <v>448</v>
      </c>
      <c r="I57" s="450"/>
      <c r="J57" s="280"/>
      <c r="K57" s="312"/>
      <c r="L57" s="292"/>
      <c r="M57" s="439"/>
      <c r="N57" s="439"/>
    </row>
    <row r="58" spans="2:14" ht="19.5" customHeight="1">
      <c r="B58" s="296"/>
      <c r="C58" s="552"/>
      <c r="D58" s="253"/>
      <c r="E58" s="334"/>
      <c r="F58" s="259"/>
      <c r="G58" s="77">
        <v>4</v>
      </c>
      <c r="H58" s="77"/>
      <c r="I58" s="450"/>
      <c r="J58" s="280"/>
      <c r="K58" s="312"/>
      <c r="L58" s="292"/>
      <c r="M58" s="439"/>
      <c r="N58" s="439"/>
    </row>
    <row r="59" spans="2:14" ht="30.4" customHeight="1" thickBot="1">
      <c r="B59" s="296"/>
      <c r="C59" s="552"/>
      <c r="D59" s="253"/>
      <c r="E59" s="334"/>
      <c r="F59" s="259"/>
      <c r="G59" s="77">
        <v>5</v>
      </c>
      <c r="H59" s="77"/>
      <c r="I59" s="450"/>
      <c r="J59" s="280"/>
      <c r="K59" s="312"/>
      <c r="L59" s="292"/>
      <c r="M59" s="439"/>
      <c r="N59" s="439"/>
    </row>
    <row r="60" spans="2:14" ht="23.65" hidden="1" customHeight="1" thickBot="1">
      <c r="B60" s="296"/>
      <c r="C60" s="552"/>
      <c r="D60" s="253"/>
      <c r="E60" s="334"/>
      <c r="F60" s="259"/>
      <c r="G60" s="77">
        <v>6</v>
      </c>
      <c r="H60" s="77"/>
      <c r="I60" s="450"/>
      <c r="J60" s="280"/>
      <c r="K60" s="312"/>
      <c r="L60" s="292"/>
      <c r="M60" s="439"/>
      <c r="N60" s="439"/>
    </row>
    <row r="61" spans="2:14" ht="30" hidden="1" customHeight="1" thickBot="1">
      <c r="B61" s="296"/>
      <c r="C61" s="552"/>
      <c r="D61" s="253"/>
      <c r="E61" s="334"/>
      <c r="F61" s="259"/>
      <c r="G61" s="77">
        <v>7</v>
      </c>
      <c r="H61" s="77"/>
      <c r="I61" s="450"/>
      <c r="J61" s="280"/>
      <c r="K61" s="312"/>
      <c r="L61" s="292"/>
      <c r="M61" s="439"/>
      <c r="N61" s="439"/>
    </row>
    <row r="62" spans="2:14" ht="13.5" hidden="1" customHeight="1" thickBot="1">
      <c r="B62" s="297"/>
      <c r="C62" s="553"/>
      <c r="D62" s="254"/>
      <c r="E62" s="335"/>
      <c r="F62" s="260"/>
      <c r="G62" s="81">
        <v>8</v>
      </c>
      <c r="H62" s="81"/>
      <c r="I62" s="451"/>
      <c r="J62" s="281"/>
      <c r="K62" s="313"/>
      <c r="L62" s="292"/>
      <c r="M62" s="439"/>
      <c r="N62" s="439"/>
    </row>
    <row r="63" spans="2:14" ht="66.75" thickBot="1">
      <c r="B63" s="295" t="str">
        <f>+LEFT(C63,4)</f>
        <v>14.2</v>
      </c>
      <c r="C63" s="548" t="s">
        <v>449</v>
      </c>
      <c r="D63" s="252" t="s">
        <v>443</v>
      </c>
      <c r="E63" s="333" t="s">
        <v>450</v>
      </c>
      <c r="F63" s="258">
        <v>3</v>
      </c>
      <c r="G63" s="82">
        <v>1</v>
      </c>
      <c r="H63" s="123" t="s">
        <v>451</v>
      </c>
      <c r="I63" s="236" t="s">
        <v>452</v>
      </c>
      <c r="J63" s="279">
        <v>2</v>
      </c>
      <c r="K63" s="311" t="str">
        <f t="shared" si="5"/>
        <v>Deficiencia de control (diseño o ejecución)</v>
      </c>
      <c r="L63" s="292">
        <f t="shared" ref="L63" si="7">+IF(K63="",231,IF(K63="Deficiencia de control mayor (diseño y ejecución)",240,IF(K63="Deficiencia de control (diseño o ejecución)",260,IF(K63="Oportunidad de mejora",280,300))))</f>
        <v>260</v>
      </c>
      <c r="M63" s="439">
        <v>4.9854000000000003</v>
      </c>
      <c r="N63" s="439">
        <f>+L63+M63</f>
        <v>264.98540000000003</v>
      </c>
    </row>
    <row r="64" spans="2:14" ht="79.150000000000006" customHeight="1">
      <c r="B64" s="296"/>
      <c r="C64" s="549"/>
      <c r="D64" s="253"/>
      <c r="E64" s="334"/>
      <c r="F64" s="259"/>
      <c r="G64" s="77">
        <v>2</v>
      </c>
      <c r="H64" s="136" t="s">
        <v>445</v>
      </c>
      <c r="I64" s="239"/>
      <c r="J64" s="280"/>
      <c r="K64" s="312"/>
      <c r="L64" s="292"/>
      <c r="M64" s="439"/>
      <c r="N64" s="439"/>
    </row>
    <row r="65" spans="2:14" ht="99.75" thickBot="1">
      <c r="B65" s="296"/>
      <c r="C65" s="549"/>
      <c r="D65" s="253"/>
      <c r="E65" s="334"/>
      <c r="F65" s="259"/>
      <c r="G65" s="77">
        <v>3</v>
      </c>
      <c r="H65" s="124" t="s">
        <v>453</v>
      </c>
      <c r="I65" s="239"/>
      <c r="J65" s="280"/>
      <c r="K65" s="312"/>
      <c r="L65" s="292"/>
      <c r="M65" s="439"/>
      <c r="N65" s="439"/>
    </row>
    <row r="66" spans="2:14" ht="0.4" customHeight="1" thickBot="1">
      <c r="B66" s="296"/>
      <c r="C66" s="549"/>
      <c r="D66" s="253"/>
      <c r="E66" s="334"/>
      <c r="F66" s="259"/>
      <c r="G66" s="77">
        <v>4</v>
      </c>
      <c r="H66" s="77"/>
      <c r="I66" s="239"/>
      <c r="J66" s="280"/>
      <c r="K66" s="312"/>
      <c r="L66" s="292"/>
      <c r="M66" s="439"/>
      <c r="N66" s="439"/>
    </row>
    <row r="67" spans="2:14" ht="17.25" hidden="1" thickBot="1">
      <c r="B67" s="296"/>
      <c r="C67" s="549"/>
      <c r="D67" s="253"/>
      <c r="E67" s="334"/>
      <c r="F67" s="259"/>
      <c r="G67" s="77">
        <v>5</v>
      </c>
      <c r="H67" s="77"/>
      <c r="I67" s="239"/>
      <c r="J67" s="280"/>
      <c r="K67" s="312"/>
      <c r="L67" s="292"/>
      <c r="M67" s="439"/>
      <c r="N67" s="439"/>
    </row>
    <row r="68" spans="2:14" ht="17.25" hidden="1" thickBot="1">
      <c r="B68" s="296"/>
      <c r="C68" s="549"/>
      <c r="D68" s="253"/>
      <c r="E68" s="334"/>
      <c r="F68" s="259"/>
      <c r="G68" s="77">
        <v>6</v>
      </c>
      <c r="H68" s="77"/>
      <c r="I68" s="239"/>
      <c r="J68" s="280"/>
      <c r="K68" s="312"/>
      <c r="L68" s="292"/>
      <c r="M68" s="439"/>
      <c r="N68" s="439"/>
    </row>
    <row r="69" spans="2:14" ht="17.25" hidden="1" thickBot="1">
      <c r="B69" s="296"/>
      <c r="C69" s="549"/>
      <c r="D69" s="253"/>
      <c r="E69" s="334"/>
      <c r="F69" s="259"/>
      <c r="G69" s="77">
        <v>7</v>
      </c>
      <c r="H69" s="77"/>
      <c r="I69" s="239"/>
      <c r="J69" s="280"/>
      <c r="K69" s="312"/>
      <c r="L69" s="292"/>
      <c r="M69" s="439"/>
      <c r="N69" s="439"/>
    </row>
    <row r="70" spans="2:14" ht="17.25" hidden="1" thickBot="1">
      <c r="B70" s="297"/>
      <c r="C70" s="550"/>
      <c r="D70" s="254"/>
      <c r="E70" s="335"/>
      <c r="F70" s="260"/>
      <c r="G70" s="81">
        <v>8</v>
      </c>
      <c r="H70" s="81"/>
      <c r="I70" s="240"/>
      <c r="J70" s="281"/>
      <c r="K70" s="313"/>
      <c r="L70" s="292"/>
      <c r="M70" s="439"/>
      <c r="N70" s="439"/>
    </row>
    <row r="71" spans="2:14" ht="115.5">
      <c r="B71" s="295" t="str">
        <f>+LEFT(C71,4)</f>
        <v>14.3</v>
      </c>
      <c r="C71" s="545" t="s">
        <v>454</v>
      </c>
      <c r="D71" s="252" t="s">
        <v>443</v>
      </c>
      <c r="E71" s="333" t="s">
        <v>455</v>
      </c>
      <c r="F71" s="258">
        <v>3</v>
      </c>
      <c r="G71" s="82">
        <v>1</v>
      </c>
      <c r="H71" s="123" t="s">
        <v>456</v>
      </c>
      <c r="I71" s="236" t="s">
        <v>457</v>
      </c>
      <c r="J71" s="279">
        <v>3</v>
      </c>
      <c r="K71" s="311" t="str">
        <f t="shared" si="5"/>
        <v>Mantenimiento del control</v>
      </c>
      <c r="L71" s="292">
        <f t="shared" ref="L71" si="8">+IF(K71="",231,IF(K71="Deficiencia de control mayor (diseño y ejecución)",240,IF(K71="Deficiencia de control (diseño o ejecución)",260,IF(K71="Oportunidad de mejora",280,300))))</f>
        <v>300</v>
      </c>
      <c r="M71" s="439">
        <v>5.0122999999999998</v>
      </c>
      <c r="N71" s="439">
        <f>+L71+M71</f>
        <v>305.01229999999998</v>
      </c>
    </row>
    <row r="72" spans="2:14" ht="90" customHeight="1">
      <c r="B72" s="296"/>
      <c r="C72" s="546"/>
      <c r="D72" s="253"/>
      <c r="E72" s="334"/>
      <c r="F72" s="259"/>
      <c r="G72" s="77">
        <v>2</v>
      </c>
      <c r="H72" s="124" t="s">
        <v>157</v>
      </c>
      <c r="I72" s="237"/>
      <c r="J72" s="280"/>
      <c r="K72" s="312"/>
      <c r="L72" s="292"/>
      <c r="M72" s="439"/>
      <c r="N72" s="439"/>
    </row>
    <row r="73" spans="2:14" ht="28.9" customHeight="1">
      <c r="B73" s="296"/>
      <c r="C73" s="546"/>
      <c r="D73" s="253"/>
      <c r="E73" s="334"/>
      <c r="F73" s="259"/>
      <c r="G73" s="77">
        <v>3</v>
      </c>
      <c r="H73" s="77"/>
      <c r="I73" s="237"/>
      <c r="J73" s="280"/>
      <c r="K73" s="312"/>
      <c r="L73" s="292"/>
      <c r="M73" s="439"/>
      <c r="N73" s="439"/>
    </row>
    <row r="74" spans="2:14" ht="2.65" customHeight="1" thickBot="1">
      <c r="B74" s="296"/>
      <c r="C74" s="546"/>
      <c r="D74" s="253"/>
      <c r="E74" s="334"/>
      <c r="F74" s="259"/>
      <c r="G74" s="77">
        <v>4</v>
      </c>
      <c r="H74" s="77"/>
      <c r="I74" s="237"/>
      <c r="J74" s="280"/>
      <c r="K74" s="312"/>
      <c r="L74" s="292"/>
      <c r="M74" s="439"/>
      <c r="N74" s="439"/>
    </row>
    <row r="75" spans="2:14" ht="17.25" hidden="1" thickBot="1">
      <c r="B75" s="296"/>
      <c r="C75" s="546"/>
      <c r="D75" s="253"/>
      <c r="E75" s="334"/>
      <c r="F75" s="259"/>
      <c r="G75" s="77">
        <v>5</v>
      </c>
      <c r="H75" s="77"/>
      <c r="I75" s="237"/>
      <c r="J75" s="280"/>
      <c r="K75" s="312"/>
      <c r="L75" s="292"/>
      <c r="M75" s="439"/>
      <c r="N75" s="439"/>
    </row>
    <row r="76" spans="2:14" ht="17.25" hidden="1" thickBot="1">
      <c r="B76" s="296"/>
      <c r="C76" s="546"/>
      <c r="D76" s="253"/>
      <c r="E76" s="334"/>
      <c r="F76" s="259"/>
      <c r="G76" s="77">
        <v>6</v>
      </c>
      <c r="H76" s="77"/>
      <c r="I76" s="237"/>
      <c r="J76" s="280"/>
      <c r="K76" s="312"/>
      <c r="L76" s="292"/>
      <c r="M76" s="439"/>
      <c r="N76" s="439"/>
    </row>
    <row r="77" spans="2:14" ht="17.25" hidden="1" thickBot="1">
      <c r="B77" s="296"/>
      <c r="C77" s="546"/>
      <c r="D77" s="253"/>
      <c r="E77" s="334"/>
      <c r="F77" s="259"/>
      <c r="G77" s="77">
        <v>7</v>
      </c>
      <c r="H77" s="77"/>
      <c r="I77" s="237"/>
      <c r="J77" s="280"/>
      <c r="K77" s="312"/>
      <c r="L77" s="292"/>
      <c r="M77" s="439"/>
      <c r="N77" s="439"/>
    </row>
    <row r="78" spans="2:14" ht="17.25" hidden="1" thickBot="1">
      <c r="B78" s="297"/>
      <c r="C78" s="547"/>
      <c r="D78" s="254"/>
      <c r="E78" s="335"/>
      <c r="F78" s="260"/>
      <c r="G78" s="81">
        <v>8</v>
      </c>
      <c r="H78" s="81"/>
      <c r="I78" s="238"/>
      <c r="J78" s="281"/>
      <c r="K78" s="313"/>
      <c r="L78" s="292"/>
      <c r="M78" s="439"/>
      <c r="N78" s="439"/>
    </row>
    <row r="79" spans="2:14" ht="99">
      <c r="B79" s="295" t="str">
        <f>+LEFT(C79,4)</f>
        <v>14.4</v>
      </c>
      <c r="C79" s="548" t="s">
        <v>458</v>
      </c>
      <c r="D79" s="252" t="s">
        <v>443</v>
      </c>
      <c r="E79" s="333" t="s">
        <v>459</v>
      </c>
      <c r="F79" s="258">
        <v>3</v>
      </c>
      <c r="G79" s="82">
        <v>1</v>
      </c>
      <c r="H79" s="136" t="s">
        <v>272</v>
      </c>
      <c r="I79" s="267" t="s">
        <v>274</v>
      </c>
      <c r="J79" s="279">
        <v>2</v>
      </c>
      <c r="K79" s="311" t="str">
        <f t="shared" si="5"/>
        <v>Deficiencia de control (diseño o ejecución)</v>
      </c>
      <c r="L79" s="292">
        <f t="shared" ref="L79" si="9">+IF(K79="",231,IF(K79="Deficiencia de control mayor (diseño y ejecución)",240,IF(K79="Deficiencia de control (diseño o ejecución)",260,IF(K79="Oportunidad de mejora",280,300))))</f>
        <v>260</v>
      </c>
      <c r="M79" s="439">
        <v>5.1235999999999997</v>
      </c>
      <c r="N79" s="439">
        <f>+L79+M79</f>
        <v>265.12360000000001</v>
      </c>
    </row>
    <row r="80" spans="2:14" ht="66">
      <c r="B80" s="296"/>
      <c r="C80" s="549"/>
      <c r="D80" s="253"/>
      <c r="E80" s="334"/>
      <c r="F80" s="259"/>
      <c r="G80" s="77">
        <v>2</v>
      </c>
      <c r="H80" s="124" t="s">
        <v>451</v>
      </c>
      <c r="I80" s="450"/>
      <c r="J80" s="280"/>
      <c r="K80" s="312"/>
      <c r="L80" s="292"/>
      <c r="M80" s="439"/>
      <c r="N80" s="439"/>
    </row>
    <row r="81" spans="2:14" ht="16.5">
      <c r="B81" s="296"/>
      <c r="C81" s="549"/>
      <c r="D81" s="253"/>
      <c r="E81" s="334"/>
      <c r="F81" s="259"/>
      <c r="G81" s="77">
        <v>3</v>
      </c>
      <c r="H81" s="77"/>
      <c r="I81" s="450"/>
      <c r="J81" s="280"/>
      <c r="K81" s="312"/>
      <c r="L81" s="292"/>
      <c r="M81" s="439"/>
      <c r="N81" s="439"/>
    </row>
    <row r="82" spans="2:14" ht="16.5">
      <c r="B82" s="296"/>
      <c r="C82" s="549"/>
      <c r="D82" s="253"/>
      <c r="E82" s="334"/>
      <c r="F82" s="259"/>
      <c r="G82" s="77">
        <v>4</v>
      </c>
      <c r="H82" s="77"/>
      <c r="I82" s="450"/>
      <c r="J82" s="280"/>
      <c r="K82" s="312"/>
      <c r="L82" s="292"/>
      <c r="M82" s="439"/>
      <c r="N82" s="439"/>
    </row>
    <row r="83" spans="2:14" ht="16.5">
      <c r="B83" s="296"/>
      <c r="C83" s="549"/>
      <c r="D83" s="253"/>
      <c r="E83" s="334"/>
      <c r="F83" s="259"/>
      <c r="G83" s="77">
        <v>5</v>
      </c>
      <c r="H83" s="77"/>
      <c r="I83" s="450"/>
      <c r="J83" s="280"/>
      <c r="K83" s="312"/>
      <c r="L83" s="292"/>
      <c r="M83" s="439"/>
      <c r="N83" s="439"/>
    </row>
    <row r="84" spans="2:14" ht="16.5">
      <c r="B84" s="296"/>
      <c r="C84" s="549"/>
      <c r="D84" s="253"/>
      <c r="E84" s="334"/>
      <c r="F84" s="259"/>
      <c r="G84" s="77">
        <v>6</v>
      </c>
      <c r="H84" s="77"/>
      <c r="I84" s="450"/>
      <c r="J84" s="280"/>
      <c r="K84" s="312"/>
      <c r="L84" s="292"/>
      <c r="M84" s="439"/>
      <c r="N84" s="439"/>
    </row>
    <row r="85" spans="2:14" ht="16.5">
      <c r="B85" s="296"/>
      <c r="C85" s="549"/>
      <c r="D85" s="253"/>
      <c r="E85" s="334"/>
      <c r="F85" s="259"/>
      <c r="G85" s="77">
        <v>7</v>
      </c>
      <c r="H85" s="77"/>
      <c r="I85" s="450"/>
      <c r="J85" s="280"/>
      <c r="K85" s="312"/>
      <c r="L85" s="292"/>
      <c r="M85" s="439"/>
      <c r="N85" s="439"/>
    </row>
    <row r="86" spans="2:14" ht="17.25" thickBot="1">
      <c r="B86" s="297"/>
      <c r="C86" s="550"/>
      <c r="D86" s="254"/>
      <c r="E86" s="335"/>
      <c r="F86" s="260"/>
      <c r="G86" s="81">
        <v>8</v>
      </c>
      <c r="H86" s="81"/>
      <c r="I86" s="451"/>
      <c r="J86" s="281"/>
      <c r="K86" s="313"/>
      <c r="L86" s="292"/>
      <c r="M86" s="439"/>
      <c r="N86" s="439"/>
    </row>
    <row r="87" spans="2:14" ht="12.75" customHeight="1">
      <c r="B87" s="513"/>
      <c r="C87" s="513" t="s">
        <v>460</v>
      </c>
      <c r="D87" s="527" t="s">
        <v>8</v>
      </c>
      <c r="E87" s="558" t="s">
        <v>114</v>
      </c>
      <c r="F87" s="530" t="s">
        <v>262</v>
      </c>
      <c r="G87" s="529" t="s">
        <v>116</v>
      </c>
      <c r="H87" s="529"/>
      <c r="I87" s="529"/>
      <c r="J87" s="530" t="s">
        <v>263</v>
      </c>
      <c r="K87" s="514" t="s">
        <v>161</v>
      </c>
      <c r="L87" s="437"/>
      <c r="M87" s="437"/>
      <c r="N87" s="437"/>
    </row>
    <row r="88" spans="2:14" ht="15" customHeight="1">
      <c r="B88" s="512"/>
      <c r="C88" s="512"/>
      <c r="D88" s="527"/>
      <c r="E88" s="559"/>
      <c r="F88" s="530"/>
      <c r="G88" s="529"/>
      <c r="H88" s="529"/>
      <c r="I88" s="529"/>
      <c r="J88" s="530"/>
      <c r="K88" s="514"/>
      <c r="L88" s="437"/>
      <c r="M88" s="437"/>
      <c r="N88" s="437"/>
    </row>
    <row r="89" spans="2:14" ht="27.75" customHeight="1">
      <c r="B89" s="512"/>
      <c r="C89" s="512"/>
      <c r="D89" s="527"/>
      <c r="E89" s="559"/>
      <c r="F89" s="530"/>
      <c r="G89" s="529" t="s">
        <v>13</v>
      </c>
      <c r="H89" s="528" t="s">
        <v>15</v>
      </c>
      <c r="I89" s="528" t="s">
        <v>17</v>
      </c>
      <c r="J89" s="530"/>
      <c r="K89" s="514"/>
      <c r="L89" s="437"/>
      <c r="M89" s="437"/>
      <c r="N89" s="437"/>
    </row>
    <row r="90" spans="2:14" ht="72" customHeight="1" thickBot="1">
      <c r="B90" s="512"/>
      <c r="C90" s="512"/>
      <c r="D90" s="527"/>
      <c r="E90" s="560"/>
      <c r="F90" s="530"/>
      <c r="G90" s="529"/>
      <c r="H90" s="529"/>
      <c r="I90" s="529"/>
      <c r="J90" s="530"/>
      <c r="K90" s="515"/>
      <c r="L90" s="437"/>
      <c r="M90" s="437"/>
      <c r="N90" s="437"/>
    </row>
    <row r="91" spans="2:14" ht="115.5">
      <c r="B91" s="295" t="str">
        <f>+LEFT(C91,4)</f>
        <v>15.1</v>
      </c>
      <c r="C91" s="532" t="s">
        <v>461</v>
      </c>
      <c r="D91" s="252" t="s">
        <v>462</v>
      </c>
      <c r="E91" s="333" t="s">
        <v>463</v>
      </c>
      <c r="F91" s="258">
        <v>3</v>
      </c>
      <c r="G91" s="82">
        <v>1</v>
      </c>
      <c r="H91" s="123" t="s">
        <v>464</v>
      </c>
      <c r="I91" s="236" t="s">
        <v>446</v>
      </c>
      <c r="J91" s="279">
        <v>3</v>
      </c>
      <c r="K91" s="311" t="str">
        <f t="shared" ref="K91:K131" si="10">+IF(OR(ISBLANK(F91),ISBLANK(J91)),"",IF(OR(AND(F91=1,J91=1),AND(F91=1,J91=2),AND(F91=1,J91=3)),"Deficiencia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292">
        <f t="shared" ref="L91" si="11">+IF(K91="",231,IF(K91="Deficiencia de control mayor (diseño y ejecución)",240,IF(K91="Deficiencia de control (diseño o ejecución)",260,IF(K91="Oportunidad de mejora",280,300))))</f>
        <v>300</v>
      </c>
      <c r="M91" s="439">
        <v>5.2369000000000003</v>
      </c>
      <c r="N91" s="439">
        <f>+L91+M91</f>
        <v>305.23689999999999</v>
      </c>
    </row>
    <row r="92" spans="2:14" ht="132">
      <c r="B92" s="296"/>
      <c r="C92" s="532"/>
      <c r="D92" s="253"/>
      <c r="E92" s="334"/>
      <c r="F92" s="259"/>
      <c r="G92" s="77">
        <v>2</v>
      </c>
      <c r="H92" s="124" t="s">
        <v>465</v>
      </c>
      <c r="I92" s="239"/>
      <c r="J92" s="280"/>
      <c r="K92" s="312"/>
      <c r="L92" s="292"/>
      <c r="M92" s="439"/>
      <c r="N92" s="439"/>
    </row>
    <row r="93" spans="2:14" ht="16.5">
      <c r="B93" s="296"/>
      <c r="C93" s="532"/>
      <c r="D93" s="253"/>
      <c r="E93" s="334"/>
      <c r="F93" s="259"/>
      <c r="G93" s="77">
        <v>3</v>
      </c>
      <c r="H93" s="124"/>
      <c r="I93" s="239"/>
      <c r="J93" s="280"/>
      <c r="K93" s="312"/>
      <c r="L93" s="292"/>
      <c r="M93" s="439"/>
      <c r="N93" s="439"/>
    </row>
    <row r="94" spans="2:14" ht="0.4" customHeight="1">
      <c r="B94" s="296"/>
      <c r="C94" s="532"/>
      <c r="D94" s="253"/>
      <c r="E94" s="334"/>
      <c r="F94" s="259"/>
      <c r="G94" s="77">
        <v>4</v>
      </c>
      <c r="H94" s="124"/>
      <c r="I94" s="239"/>
      <c r="J94" s="280"/>
      <c r="K94" s="312"/>
      <c r="L94" s="292"/>
      <c r="M94" s="439"/>
      <c r="N94" s="439"/>
    </row>
    <row r="95" spans="2:14" ht="1.1499999999999999" customHeight="1" thickBot="1">
      <c r="B95" s="296"/>
      <c r="C95" s="532"/>
      <c r="D95" s="253"/>
      <c r="E95" s="334"/>
      <c r="F95" s="259"/>
      <c r="G95" s="77">
        <v>5</v>
      </c>
      <c r="H95" s="77"/>
      <c r="I95" s="239"/>
      <c r="J95" s="280"/>
      <c r="K95" s="312"/>
      <c r="L95" s="292"/>
      <c r="M95" s="439"/>
      <c r="N95" s="439"/>
    </row>
    <row r="96" spans="2:14" ht="22.5" hidden="1" customHeight="1" thickBot="1">
      <c r="B96" s="296"/>
      <c r="C96" s="532"/>
      <c r="D96" s="253"/>
      <c r="E96" s="334"/>
      <c r="F96" s="259"/>
      <c r="G96" s="77">
        <v>6</v>
      </c>
      <c r="H96" s="77"/>
      <c r="I96" s="239"/>
      <c r="J96" s="280"/>
      <c r="K96" s="312"/>
      <c r="L96" s="292"/>
      <c r="M96" s="439"/>
      <c r="N96" s="439"/>
    </row>
    <row r="97" spans="2:14" ht="22.5" hidden="1" customHeight="1" thickBot="1">
      <c r="B97" s="296"/>
      <c r="C97" s="532"/>
      <c r="D97" s="253"/>
      <c r="E97" s="334"/>
      <c r="F97" s="259"/>
      <c r="G97" s="77">
        <v>7</v>
      </c>
      <c r="H97" s="77"/>
      <c r="I97" s="239"/>
      <c r="J97" s="280"/>
      <c r="K97" s="312"/>
      <c r="L97" s="292"/>
      <c r="M97" s="439"/>
      <c r="N97" s="439"/>
    </row>
    <row r="98" spans="2:14" ht="28.15" hidden="1" customHeight="1" thickBot="1">
      <c r="B98" s="297"/>
      <c r="C98" s="533"/>
      <c r="D98" s="254"/>
      <c r="E98" s="335"/>
      <c r="F98" s="260"/>
      <c r="G98" s="81">
        <v>8</v>
      </c>
      <c r="H98" s="137"/>
      <c r="I98" s="240"/>
      <c r="J98" s="281"/>
      <c r="K98" s="313"/>
      <c r="L98" s="292"/>
      <c r="M98" s="439"/>
      <c r="N98" s="439"/>
    </row>
    <row r="99" spans="2:14" ht="201" customHeight="1">
      <c r="B99" s="295" t="str">
        <f>+LEFT(C99,4)</f>
        <v>15.2</v>
      </c>
      <c r="C99" s="532" t="s">
        <v>466</v>
      </c>
      <c r="D99" s="252" t="s">
        <v>467</v>
      </c>
      <c r="E99" s="333" t="s">
        <v>468</v>
      </c>
      <c r="F99" s="258">
        <v>3</v>
      </c>
      <c r="G99" s="82">
        <v>1</v>
      </c>
      <c r="H99" s="123" t="s">
        <v>469</v>
      </c>
      <c r="I99" s="236" t="s">
        <v>470</v>
      </c>
      <c r="J99" s="279">
        <v>3</v>
      </c>
      <c r="K99" s="311" t="str">
        <f t="shared" si="10"/>
        <v>Mantenimiento del control</v>
      </c>
      <c r="L99" s="292">
        <f t="shared" ref="L99" si="12">+IF(K99="",231,IF(K99="Deficiencia de control mayor (diseño y ejecución)",240,IF(K99="Deficiencia de control (diseño o ejecución)",260,IF(K99="Oportunidad de mejora",280,300))))</f>
        <v>300</v>
      </c>
      <c r="M99" s="439">
        <v>5.3654000000000002</v>
      </c>
      <c r="N99" s="439">
        <f>+L99+M99</f>
        <v>305.36540000000002</v>
      </c>
    </row>
    <row r="100" spans="2:14" ht="231">
      <c r="B100" s="296"/>
      <c r="C100" s="532"/>
      <c r="D100" s="253"/>
      <c r="E100" s="334"/>
      <c r="F100" s="259"/>
      <c r="G100" s="77">
        <v>2</v>
      </c>
      <c r="H100" s="124" t="s">
        <v>471</v>
      </c>
      <c r="I100" s="239"/>
      <c r="J100" s="280"/>
      <c r="K100" s="312"/>
      <c r="L100" s="292"/>
      <c r="M100" s="439"/>
      <c r="N100" s="439"/>
    </row>
    <row r="101" spans="2:14" ht="19.149999999999999" customHeight="1" thickBot="1">
      <c r="B101" s="296"/>
      <c r="C101" s="532"/>
      <c r="D101" s="253"/>
      <c r="E101" s="334"/>
      <c r="F101" s="259"/>
      <c r="G101" s="77">
        <v>3</v>
      </c>
      <c r="H101" s="124"/>
      <c r="I101" s="239"/>
      <c r="J101" s="280"/>
      <c r="K101" s="312"/>
      <c r="L101" s="292"/>
      <c r="M101" s="439"/>
      <c r="N101" s="439"/>
    </row>
    <row r="102" spans="2:14" ht="25.9" hidden="1" customHeight="1" thickBot="1">
      <c r="B102" s="296"/>
      <c r="C102" s="532"/>
      <c r="D102" s="253"/>
      <c r="E102" s="334"/>
      <c r="F102" s="259"/>
      <c r="G102" s="77">
        <v>4</v>
      </c>
      <c r="H102" s="77"/>
      <c r="I102" s="239"/>
      <c r="J102" s="280"/>
      <c r="K102" s="312"/>
      <c r="L102" s="292"/>
      <c r="M102" s="439"/>
      <c r="N102" s="439"/>
    </row>
    <row r="103" spans="2:14" ht="25.9" hidden="1" customHeight="1" thickBot="1">
      <c r="B103" s="296"/>
      <c r="C103" s="532"/>
      <c r="D103" s="253"/>
      <c r="E103" s="334"/>
      <c r="F103" s="259"/>
      <c r="G103" s="77">
        <v>5</v>
      </c>
      <c r="H103" s="77"/>
      <c r="I103" s="239"/>
      <c r="J103" s="280"/>
      <c r="K103" s="312"/>
      <c r="L103" s="292"/>
      <c r="M103" s="439"/>
      <c r="N103" s="439"/>
    </row>
    <row r="104" spans="2:14" ht="25.9" hidden="1" customHeight="1" thickBot="1">
      <c r="B104" s="296"/>
      <c r="C104" s="532"/>
      <c r="D104" s="253"/>
      <c r="E104" s="334"/>
      <c r="F104" s="259"/>
      <c r="G104" s="77">
        <v>6</v>
      </c>
      <c r="H104" s="77"/>
      <c r="I104" s="239"/>
      <c r="J104" s="280"/>
      <c r="K104" s="312"/>
      <c r="L104" s="292"/>
      <c r="M104" s="439"/>
      <c r="N104" s="439"/>
    </row>
    <row r="105" spans="2:14" ht="25.9" hidden="1" customHeight="1" thickBot="1">
      <c r="B105" s="296"/>
      <c r="C105" s="532"/>
      <c r="D105" s="253"/>
      <c r="E105" s="334"/>
      <c r="F105" s="259"/>
      <c r="G105" s="77">
        <v>7</v>
      </c>
      <c r="H105" s="77"/>
      <c r="I105" s="239"/>
      <c r="J105" s="280"/>
      <c r="K105" s="312"/>
      <c r="L105" s="292"/>
      <c r="M105" s="439"/>
      <c r="N105" s="439"/>
    </row>
    <row r="106" spans="2:14" ht="25.9" hidden="1" customHeight="1" thickBot="1">
      <c r="B106" s="297"/>
      <c r="C106" s="532"/>
      <c r="D106" s="254"/>
      <c r="E106" s="335"/>
      <c r="F106" s="260"/>
      <c r="G106" s="81">
        <v>8</v>
      </c>
      <c r="H106" s="81"/>
      <c r="I106" s="240"/>
      <c r="J106" s="281"/>
      <c r="K106" s="313"/>
      <c r="L106" s="292"/>
      <c r="M106" s="439"/>
      <c r="N106" s="439"/>
    </row>
    <row r="107" spans="2:14" ht="66">
      <c r="B107" s="508" t="str">
        <f>+LEFT(C107,4)</f>
        <v>15.3</v>
      </c>
      <c r="C107" s="535" t="s">
        <v>472</v>
      </c>
      <c r="D107" s="538" t="s">
        <v>473</v>
      </c>
      <c r="E107" s="333" t="s">
        <v>474</v>
      </c>
      <c r="F107" s="258">
        <v>3</v>
      </c>
      <c r="G107" s="82">
        <v>1</v>
      </c>
      <c r="H107" s="123" t="s">
        <v>451</v>
      </c>
      <c r="I107" s="236" t="s">
        <v>475</v>
      </c>
      <c r="J107" s="279">
        <v>2</v>
      </c>
      <c r="K107" s="311" t="str">
        <f t="shared" si="10"/>
        <v>Deficiencia de control (diseño o ejecución)</v>
      </c>
      <c r="L107" s="292">
        <f t="shared" ref="L107" si="13">+IF(K107="",231,IF(K107="Deficiencia de control mayor (diseño y ejecución)",240,IF(K107="Deficiencia de control (diseño o ejecución)",260,IF(K107="Oportunidad de mejora",280,300))))</f>
        <v>260</v>
      </c>
      <c r="M107" s="439">
        <v>5.4562999999999997</v>
      </c>
      <c r="N107" s="439">
        <f>+L107+M107</f>
        <v>265.4563</v>
      </c>
    </row>
    <row r="108" spans="2:14" ht="16.5">
      <c r="B108" s="509"/>
      <c r="C108" s="536"/>
      <c r="D108" s="539"/>
      <c r="E108" s="334"/>
      <c r="F108" s="259"/>
      <c r="G108" s="77">
        <v>2</v>
      </c>
      <c r="H108" s="124"/>
      <c r="I108" s="239"/>
      <c r="J108" s="280"/>
      <c r="K108" s="312"/>
      <c r="L108" s="292"/>
      <c r="M108" s="439"/>
      <c r="N108" s="439"/>
    </row>
    <row r="109" spans="2:14" ht="102.4" customHeight="1">
      <c r="B109" s="509"/>
      <c r="C109" s="536"/>
      <c r="D109" s="539"/>
      <c r="E109" s="334"/>
      <c r="F109" s="259"/>
      <c r="G109" s="77">
        <v>3</v>
      </c>
      <c r="H109" s="124"/>
      <c r="I109" s="239"/>
      <c r="J109" s="280"/>
      <c r="K109" s="312"/>
      <c r="L109" s="292"/>
      <c r="M109" s="439"/>
      <c r="N109" s="439"/>
    </row>
    <row r="110" spans="2:14" ht="0.4" customHeight="1">
      <c r="B110" s="509"/>
      <c r="C110" s="536"/>
      <c r="D110" s="539"/>
      <c r="E110" s="334"/>
      <c r="F110" s="259"/>
      <c r="G110" s="77">
        <v>4</v>
      </c>
      <c r="H110" s="77"/>
      <c r="I110" s="239"/>
      <c r="J110" s="280"/>
      <c r="K110" s="312"/>
      <c r="L110" s="292"/>
      <c r="M110" s="439"/>
      <c r="N110" s="439"/>
    </row>
    <row r="111" spans="2:14" ht="17.25" hidden="1" thickBot="1">
      <c r="B111" s="509"/>
      <c r="C111" s="536"/>
      <c r="D111" s="539"/>
      <c r="E111" s="334"/>
      <c r="F111" s="259"/>
      <c r="G111" s="77">
        <v>5</v>
      </c>
      <c r="H111" s="77"/>
      <c r="I111" s="239"/>
      <c r="J111" s="280"/>
      <c r="K111" s="312"/>
      <c r="L111" s="292"/>
      <c r="M111" s="439"/>
      <c r="N111" s="439"/>
    </row>
    <row r="112" spans="2:14" ht="17.25" hidden="1" thickBot="1">
      <c r="B112" s="509"/>
      <c r="C112" s="536"/>
      <c r="D112" s="539"/>
      <c r="E112" s="334"/>
      <c r="F112" s="259"/>
      <c r="G112" s="77">
        <v>6</v>
      </c>
      <c r="H112" s="77"/>
      <c r="I112" s="239"/>
      <c r="J112" s="280"/>
      <c r="K112" s="312"/>
      <c r="L112" s="292"/>
      <c r="M112" s="439"/>
      <c r="N112" s="439"/>
    </row>
    <row r="113" spans="2:14" ht="17.25" hidden="1" thickBot="1">
      <c r="B113" s="509"/>
      <c r="C113" s="536"/>
      <c r="D113" s="539"/>
      <c r="E113" s="334"/>
      <c r="F113" s="259"/>
      <c r="G113" s="77">
        <v>7</v>
      </c>
      <c r="H113" s="77"/>
      <c r="I113" s="239"/>
      <c r="J113" s="280"/>
      <c r="K113" s="312"/>
      <c r="L113" s="292"/>
      <c r="M113" s="439"/>
      <c r="N113" s="439"/>
    </row>
    <row r="114" spans="2:14" ht="10.15" customHeight="1" thickBot="1">
      <c r="B114" s="510"/>
      <c r="C114" s="537"/>
      <c r="D114" s="540"/>
      <c r="E114" s="335"/>
      <c r="F114" s="260"/>
      <c r="G114" s="81">
        <v>8</v>
      </c>
      <c r="H114" s="81"/>
      <c r="I114" s="240"/>
      <c r="J114" s="281"/>
      <c r="K114" s="313"/>
      <c r="L114" s="292"/>
      <c r="M114" s="439"/>
      <c r="N114" s="439"/>
    </row>
    <row r="115" spans="2:14" ht="82.5">
      <c r="B115" s="295" t="str">
        <f>+LEFT(C115,4)</f>
        <v>15.4</v>
      </c>
      <c r="C115" s="534" t="s">
        <v>476</v>
      </c>
      <c r="D115" s="252" t="s">
        <v>477</v>
      </c>
      <c r="E115" s="333" t="s">
        <v>478</v>
      </c>
      <c r="F115" s="258">
        <v>3</v>
      </c>
      <c r="G115" s="82">
        <v>1</v>
      </c>
      <c r="H115" s="136" t="s">
        <v>445</v>
      </c>
      <c r="I115" s="375" t="s">
        <v>479</v>
      </c>
      <c r="J115" s="279">
        <v>2</v>
      </c>
      <c r="K115" s="311" t="str">
        <f t="shared" si="10"/>
        <v>Deficiencia de control (diseño o ejecución)</v>
      </c>
      <c r="L115" s="292">
        <f t="shared" ref="L115" si="14">+IF(K115="",231,IF(K115="Deficiencia de control mayor (diseño y ejecución)",240,IF(K115="Deficiencia de control (diseño o ejecución)",260,IF(K115="Oportunidad de mejora",280,300))))</f>
        <v>260</v>
      </c>
      <c r="M115" s="439">
        <v>5.5632000000000001</v>
      </c>
      <c r="N115" s="439">
        <f>+L115+M115</f>
        <v>265.56319999999999</v>
      </c>
    </row>
    <row r="116" spans="2:14" ht="115.5">
      <c r="B116" s="296"/>
      <c r="C116" s="532"/>
      <c r="D116" s="253"/>
      <c r="E116" s="334"/>
      <c r="F116" s="259"/>
      <c r="G116" s="77">
        <v>2</v>
      </c>
      <c r="H116" s="140" t="s">
        <v>480</v>
      </c>
      <c r="I116" s="268"/>
      <c r="J116" s="280"/>
      <c r="K116" s="312"/>
      <c r="L116" s="292"/>
      <c r="M116" s="439"/>
      <c r="N116" s="439"/>
    </row>
    <row r="117" spans="2:14" ht="17.25" thickBot="1">
      <c r="B117" s="296"/>
      <c r="C117" s="532"/>
      <c r="D117" s="253"/>
      <c r="E117" s="334"/>
      <c r="F117" s="259"/>
      <c r="G117" s="77">
        <v>3</v>
      </c>
      <c r="H117" s="135"/>
      <c r="I117" s="268"/>
      <c r="J117" s="280"/>
      <c r="K117" s="312"/>
      <c r="L117" s="292"/>
      <c r="M117" s="439"/>
      <c r="N117" s="439"/>
    </row>
    <row r="118" spans="2:14" ht="1.1499999999999999" customHeight="1" thickBot="1">
      <c r="B118" s="296"/>
      <c r="C118" s="532"/>
      <c r="D118" s="253"/>
      <c r="E118" s="334"/>
      <c r="F118" s="259"/>
      <c r="G118" s="77">
        <v>4</v>
      </c>
      <c r="H118" s="136"/>
      <c r="I118" s="268"/>
      <c r="J118" s="280"/>
      <c r="K118" s="312"/>
      <c r="L118" s="292"/>
      <c r="M118" s="439"/>
      <c r="N118" s="439"/>
    </row>
    <row r="119" spans="2:14" ht="17.25" hidden="1" thickBot="1">
      <c r="B119" s="296"/>
      <c r="C119" s="532"/>
      <c r="D119" s="253"/>
      <c r="E119" s="334"/>
      <c r="F119" s="259"/>
      <c r="G119" s="77">
        <v>5</v>
      </c>
      <c r="H119" s="77"/>
      <c r="I119" s="268"/>
      <c r="J119" s="280"/>
      <c r="K119" s="312"/>
      <c r="L119" s="292"/>
      <c r="M119" s="439"/>
      <c r="N119" s="439"/>
    </row>
    <row r="120" spans="2:14" ht="17.25" hidden="1" thickBot="1">
      <c r="B120" s="296"/>
      <c r="C120" s="532"/>
      <c r="D120" s="253"/>
      <c r="E120" s="334"/>
      <c r="F120" s="259"/>
      <c r="G120" s="77">
        <v>6</v>
      </c>
      <c r="H120" s="77"/>
      <c r="I120" s="268"/>
      <c r="J120" s="280"/>
      <c r="K120" s="312"/>
      <c r="L120" s="292"/>
      <c r="M120" s="439"/>
      <c r="N120" s="439"/>
    </row>
    <row r="121" spans="2:14" ht="17.25" hidden="1" thickBot="1">
      <c r="B121" s="296"/>
      <c r="C121" s="532"/>
      <c r="D121" s="253"/>
      <c r="E121" s="334"/>
      <c r="F121" s="259"/>
      <c r="G121" s="77">
        <v>7</v>
      </c>
      <c r="H121" s="77"/>
      <c r="I121" s="268"/>
      <c r="J121" s="280"/>
      <c r="K121" s="312"/>
      <c r="L121" s="292"/>
      <c r="M121" s="439"/>
      <c r="N121" s="439"/>
    </row>
    <row r="122" spans="2:14" ht="17.25" hidden="1" thickBot="1">
      <c r="B122" s="297"/>
      <c r="C122" s="532"/>
      <c r="D122" s="254"/>
      <c r="E122" s="335"/>
      <c r="F122" s="260"/>
      <c r="G122" s="81">
        <v>8</v>
      </c>
      <c r="H122" s="81"/>
      <c r="I122" s="269"/>
      <c r="J122" s="281"/>
      <c r="K122" s="313"/>
      <c r="L122" s="292"/>
      <c r="M122" s="439"/>
      <c r="N122" s="439"/>
    </row>
    <row r="123" spans="2:14" ht="132">
      <c r="B123" s="295" t="str">
        <f>+LEFT(C123,4)</f>
        <v>15.5</v>
      </c>
      <c r="C123" s="532" t="s">
        <v>481</v>
      </c>
      <c r="D123" s="252" t="s">
        <v>482</v>
      </c>
      <c r="E123" s="333" t="s">
        <v>483</v>
      </c>
      <c r="F123" s="258">
        <v>3</v>
      </c>
      <c r="G123" s="82">
        <v>1</v>
      </c>
      <c r="H123" s="123" t="s">
        <v>484</v>
      </c>
      <c r="I123" s="236" t="s">
        <v>485</v>
      </c>
      <c r="J123" s="279">
        <v>2</v>
      </c>
      <c r="K123" s="311" t="str">
        <f t="shared" si="10"/>
        <v>Deficiencia de control (diseño o ejecución)</v>
      </c>
      <c r="L123" s="292">
        <f t="shared" ref="L123" si="15">+IF(K123="",231,IF(K123="Deficiencia de control mayor (diseño y ejecución)",240,IF(K123="Deficiencia de control (diseño o ejecución)",260,IF(K123="Oportunidad de mejora",280,300))))</f>
        <v>260</v>
      </c>
      <c r="M123" s="439">
        <v>5.6321000000000003</v>
      </c>
      <c r="N123" s="439">
        <f>+L123+M123</f>
        <v>265.63209999999998</v>
      </c>
    </row>
    <row r="124" spans="2:14" ht="147.6" customHeight="1">
      <c r="B124" s="296"/>
      <c r="C124" s="532"/>
      <c r="D124" s="253"/>
      <c r="E124" s="334"/>
      <c r="F124" s="259"/>
      <c r="G124" s="77">
        <v>2</v>
      </c>
      <c r="H124" s="124" t="s">
        <v>486</v>
      </c>
      <c r="I124" s="239"/>
      <c r="J124" s="280"/>
      <c r="K124" s="312"/>
      <c r="L124" s="292"/>
      <c r="M124" s="439"/>
      <c r="N124" s="439"/>
    </row>
    <row r="125" spans="2:14" ht="17.25" thickBot="1">
      <c r="B125" s="296"/>
      <c r="C125" s="532"/>
      <c r="D125" s="253"/>
      <c r="E125" s="334"/>
      <c r="F125" s="259"/>
      <c r="G125" s="77">
        <v>3</v>
      </c>
      <c r="H125" s="124"/>
      <c r="I125" s="239"/>
      <c r="J125" s="280"/>
      <c r="K125" s="312"/>
      <c r="L125" s="292"/>
      <c r="M125" s="439"/>
      <c r="N125" s="439"/>
    </row>
    <row r="126" spans="2:14" ht="0.4" customHeight="1" thickBot="1">
      <c r="B126" s="296"/>
      <c r="C126" s="532"/>
      <c r="D126" s="253"/>
      <c r="E126" s="334"/>
      <c r="F126" s="259"/>
      <c r="G126" s="77">
        <v>4</v>
      </c>
      <c r="H126" s="77"/>
      <c r="I126" s="239"/>
      <c r="J126" s="280"/>
      <c r="K126" s="312"/>
      <c r="L126" s="292"/>
      <c r="M126" s="439"/>
      <c r="N126" s="439"/>
    </row>
    <row r="127" spans="2:14" ht="14.65" hidden="1" customHeight="1" thickBot="1">
      <c r="B127" s="296"/>
      <c r="C127" s="532"/>
      <c r="D127" s="253"/>
      <c r="E127" s="334"/>
      <c r="F127" s="259"/>
      <c r="G127" s="77">
        <v>5</v>
      </c>
      <c r="H127" s="77"/>
      <c r="I127" s="239"/>
      <c r="J127" s="280"/>
      <c r="K127" s="312"/>
      <c r="L127" s="292"/>
      <c r="M127" s="439"/>
      <c r="N127" s="439"/>
    </row>
    <row r="128" spans="2:14" ht="12.4" hidden="1" customHeight="1" thickBot="1">
      <c r="B128" s="296"/>
      <c r="C128" s="532"/>
      <c r="D128" s="253"/>
      <c r="E128" s="334"/>
      <c r="F128" s="259"/>
      <c r="G128" s="77">
        <v>6</v>
      </c>
      <c r="H128" s="77"/>
      <c r="I128" s="239"/>
      <c r="J128" s="280"/>
      <c r="K128" s="312"/>
      <c r="L128" s="292"/>
      <c r="M128" s="439"/>
      <c r="N128" s="439"/>
    </row>
    <row r="129" spans="2:14" ht="12.4" hidden="1" customHeight="1" thickBot="1">
      <c r="B129" s="296"/>
      <c r="C129" s="532"/>
      <c r="D129" s="253"/>
      <c r="E129" s="334"/>
      <c r="F129" s="259"/>
      <c r="G129" s="77">
        <v>7</v>
      </c>
      <c r="H129" s="77"/>
      <c r="I129" s="239"/>
      <c r="J129" s="280"/>
      <c r="K129" s="312"/>
      <c r="L129" s="292"/>
      <c r="M129" s="439"/>
      <c r="N129" s="439"/>
    </row>
    <row r="130" spans="2:14" ht="12.4" hidden="1" customHeight="1" thickBot="1">
      <c r="B130" s="297"/>
      <c r="C130" s="532"/>
      <c r="D130" s="254"/>
      <c r="E130" s="335"/>
      <c r="F130" s="260"/>
      <c r="G130" s="81">
        <v>8</v>
      </c>
      <c r="H130" s="81"/>
      <c r="I130" s="240"/>
      <c r="J130" s="281"/>
      <c r="K130" s="313"/>
      <c r="L130" s="292"/>
      <c r="M130" s="439"/>
      <c r="N130" s="439"/>
    </row>
    <row r="131" spans="2:14" ht="99">
      <c r="B131" s="295" t="str">
        <f>+LEFT(C131,4)</f>
        <v>15.6</v>
      </c>
      <c r="C131" s="532" t="s">
        <v>487</v>
      </c>
      <c r="D131" s="542" t="s">
        <v>482</v>
      </c>
      <c r="E131" s="333" t="s">
        <v>488</v>
      </c>
      <c r="F131" s="258">
        <v>3</v>
      </c>
      <c r="G131" s="82">
        <v>1</v>
      </c>
      <c r="H131" s="123" t="s">
        <v>489</v>
      </c>
      <c r="I131" s="236" t="s">
        <v>490</v>
      </c>
      <c r="J131" s="279">
        <v>2</v>
      </c>
      <c r="K131" s="311" t="str">
        <f t="shared" si="10"/>
        <v>Deficiencia de control (diseño o ejecución)</v>
      </c>
      <c r="L131" s="292">
        <f t="shared" ref="L131" si="16">+IF(K131="",231,IF(K131="Deficiencia de control mayor (diseño y ejecución)",240,IF(K131="Deficiencia de control (diseño o ejecución)",260,IF(K131="Oportunidad de mejora",280,300))))</f>
        <v>260</v>
      </c>
      <c r="M131" s="439">
        <v>5.7896000000000001</v>
      </c>
      <c r="N131" s="439">
        <f>+L131+M131</f>
        <v>265.78960000000001</v>
      </c>
    </row>
    <row r="132" spans="2:14" ht="16.5">
      <c r="B132" s="296"/>
      <c r="C132" s="532"/>
      <c r="D132" s="543"/>
      <c r="E132" s="334"/>
      <c r="F132" s="259"/>
      <c r="G132" s="77">
        <v>2</v>
      </c>
      <c r="H132" s="124"/>
      <c r="I132" s="239"/>
      <c r="J132" s="280"/>
      <c r="K132" s="312"/>
      <c r="L132" s="292"/>
      <c r="M132" s="439"/>
      <c r="N132" s="439"/>
    </row>
    <row r="133" spans="2:14" ht="16.5">
      <c r="B133" s="296"/>
      <c r="C133" s="532"/>
      <c r="D133" s="543"/>
      <c r="E133" s="334"/>
      <c r="F133" s="259"/>
      <c r="G133" s="77">
        <v>3</v>
      </c>
      <c r="H133" s="77"/>
      <c r="I133" s="239"/>
      <c r="J133" s="280"/>
      <c r="K133" s="312"/>
      <c r="L133" s="292"/>
      <c r="M133" s="439"/>
      <c r="N133" s="439"/>
    </row>
    <row r="134" spans="2:14" ht="16.5">
      <c r="B134" s="296"/>
      <c r="C134" s="532"/>
      <c r="D134" s="543"/>
      <c r="E134" s="334"/>
      <c r="F134" s="259"/>
      <c r="G134" s="77">
        <v>4</v>
      </c>
      <c r="H134" s="77"/>
      <c r="I134" s="239"/>
      <c r="J134" s="280"/>
      <c r="K134" s="312"/>
      <c r="L134" s="292"/>
      <c r="M134" s="439"/>
      <c r="N134" s="439"/>
    </row>
    <row r="135" spans="2:14" ht="16.5">
      <c r="B135" s="296"/>
      <c r="C135" s="532"/>
      <c r="D135" s="543"/>
      <c r="E135" s="334"/>
      <c r="F135" s="259"/>
      <c r="G135" s="77">
        <v>5</v>
      </c>
      <c r="H135" s="77"/>
      <c r="I135" s="239"/>
      <c r="J135" s="280"/>
      <c r="K135" s="312"/>
      <c r="L135" s="292"/>
      <c r="M135" s="439"/>
      <c r="N135" s="439"/>
    </row>
    <row r="136" spans="2:14" ht="16.5">
      <c r="B136" s="296"/>
      <c r="C136" s="532"/>
      <c r="D136" s="543"/>
      <c r="E136" s="334"/>
      <c r="F136" s="259"/>
      <c r="G136" s="77">
        <v>6</v>
      </c>
      <c r="H136" s="77"/>
      <c r="I136" s="239"/>
      <c r="J136" s="280"/>
      <c r="K136" s="312"/>
      <c r="L136" s="292"/>
      <c r="M136" s="439"/>
      <c r="N136" s="439"/>
    </row>
    <row r="137" spans="2:14" ht="16.5">
      <c r="B137" s="296"/>
      <c r="C137" s="532"/>
      <c r="D137" s="543"/>
      <c r="E137" s="334"/>
      <c r="F137" s="259"/>
      <c r="G137" s="77">
        <v>7</v>
      </c>
      <c r="H137" s="77"/>
      <c r="I137" s="239"/>
      <c r="J137" s="280"/>
      <c r="K137" s="312"/>
      <c r="L137" s="292"/>
      <c r="M137" s="439"/>
      <c r="N137" s="439"/>
    </row>
    <row r="138" spans="2:14" ht="103.15" customHeight="1" thickBot="1">
      <c r="B138" s="297"/>
      <c r="C138" s="532"/>
      <c r="D138" s="544"/>
      <c r="E138" s="335"/>
      <c r="F138" s="260"/>
      <c r="G138" s="81">
        <v>8</v>
      </c>
      <c r="H138" s="81"/>
      <c r="I138" s="240"/>
      <c r="J138" s="281"/>
      <c r="K138" s="313"/>
      <c r="L138" s="292"/>
      <c r="M138" s="439"/>
      <c r="N138" s="439"/>
    </row>
  </sheetData>
  <sheetProtection password="D72A" sheet="1" objects="1" scenarios="1" formatCells="0" formatColumns="0" formatRows="0"/>
  <autoFilter ref="C1:C138" xr:uid="{00000000-0009-0000-0000-000006000000}"/>
  <mergeCells count="199">
    <mergeCell ref="I91:I98"/>
    <mergeCell ref="I99:I106"/>
    <mergeCell ref="I107:I114"/>
    <mergeCell ref="I115:I122"/>
    <mergeCell ref="I123:I130"/>
    <mergeCell ref="I131:I138"/>
    <mergeCell ref="H89:H90"/>
    <mergeCell ref="I19:I26"/>
    <mergeCell ref="I27:I34"/>
    <mergeCell ref="I35:I42"/>
    <mergeCell ref="I43:I50"/>
    <mergeCell ref="I55:I62"/>
    <mergeCell ref="I63:I70"/>
    <mergeCell ref="I71:I78"/>
    <mergeCell ref="I79:I86"/>
    <mergeCell ref="M131:M138"/>
    <mergeCell ref="N15:N18"/>
    <mergeCell ref="N19:N26"/>
    <mergeCell ref="N27:N34"/>
    <mergeCell ref="N35:N42"/>
    <mergeCell ref="N43:N50"/>
    <mergeCell ref="N51:N54"/>
    <mergeCell ref="N55:N62"/>
    <mergeCell ref="N63:N70"/>
    <mergeCell ref="N71:N78"/>
    <mergeCell ref="N79:N86"/>
    <mergeCell ref="N87:N90"/>
    <mergeCell ref="N91:N98"/>
    <mergeCell ref="N99:N106"/>
    <mergeCell ref="N107:N114"/>
    <mergeCell ref="N115:N122"/>
    <mergeCell ref="N123:N130"/>
    <mergeCell ref="N131:N138"/>
    <mergeCell ref="L79:L86"/>
    <mergeCell ref="L87:L90"/>
    <mergeCell ref="L91:L98"/>
    <mergeCell ref="L99:L106"/>
    <mergeCell ref="L107:L114"/>
    <mergeCell ref="L115:L122"/>
    <mergeCell ref="L123:L130"/>
    <mergeCell ref="L131:L138"/>
    <mergeCell ref="M15:M18"/>
    <mergeCell ref="M19:M26"/>
    <mergeCell ref="M27:M34"/>
    <mergeCell ref="M35:M42"/>
    <mergeCell ref="M43:M50"/>
    <mergeCell ref="M51:M54"/>
    <mergeCell ref="M55:M62"/>
    <mergeCell ref="M63:M70"/>
    <mergeCell ref="M71:M78"/>
    <mergeCell ref="M79:M86"/>
    <mergeCell ref="M87:M90"/>
    <mergeCell ref="M91:M98"/>
    <mergeCell ref="M99:M106"/>
    <mergeCell ref="M107:M114"/>
    <mergeCell ref="M115:M122"/>
    <mergeCell ref="M123:M130"/>
    <mergeCell ref="L15:L18"/>
    <mergeCell ref="L19:L26"/>
    <mergeCell ref="L27:L34"/>
    <mergeCell ref="L35:L42"/>
    <mergeCell ref="L43:L50"/>
    <mergeCell ref="L51:L54"/>
    <mergeCell ref="L55:L62"/>
    <mergeCell ref="L63:L70"/>
    <mergeCell ref="L71:L78"/>
    <mergeCell ref="A43:A44"/>
    <mergeCell ref="C87:C90"/>
    <mergeCell ref="E63:E70"/>
    <mergeCell ref="E79:E86"/>
    <mergeCell ref="F63:F70"/>
    <mergeCell ref="F79:F86"/>
    <mergeCell ref="F43:F50"/>
    <mergeCell ref="D43:D50"/>
    <mergeCell ref="D63:D70"/>
    <mergeCell ref="D79:D86"/>
    <mergeCell ref="C79:C86"/>
    <mergeCell ref="F55:F62"/>
    <mergeCell ref="D51:D54"/>
    <mergeCell ref="D87:D90"/>
    <mergeCell ref="C51:C54"/>
    <mergeCell ref="D55:D62"/>
    <mergeCell ref="E51:E54"/>
    <mergeCell ref="E87:E90"/>
    <mergeCell ref="F87:F90"/>
    <mergeCell ref="B79:B86"/>
    <mergeCell ref="B87:B90"/>
    <mergeCell ref="D131:D138"/>
    <mergeCell ref="C91:C98"/>
    <mergeCell ref="E91:E98"/>
    <mergeCell ref="F15:F18"/>
    <mergeCell ref="F19:F26"/>
    <mergeCell ref="F27:F34"/>
    <mergeCell ref="D19:D26"/>
    <mergeCell ref="D27:D34"/>
    <mergeCell ref="D15:D18"/>
    <mergeCell ref="C71:C78"/>
    <mergeCell ref="D71:D78"/>
    <mergeCell ref="E71:E78"/>
    <mergeCell ref="F71:F78"/>
    <mergeCell ref="E55:E62"/>
    <mergeCell ref="C63:C70"/>
    <mergeCell ref="C55:C62"/>
    <mergeCell ref="E15:E18"/>
    <mergeCell ref="C99:C106"/>
    <mergeCell ref="E99:E106"/>
    <mergeCell ref="C131:C138"/>
    <mergeCell ref="F131:F138"/>
    <mergeCell ref="F91:F98"/>
    <mergeCell ref="F99:F106"/>
    <mergeCell ref="E131:E138"/>
    <mergeCell ref="J131:J138"/>
    <mergeCell ref="I17:I18"/>
    <mergeCell ref="I53:I54"/>
    <mergeCell ref="I89:I90"/>
    <mergeCell ref="J15:J18"/>
    <mergeCell ref="J19:J26"/>
    <mergeCell ref="J27:J34"/>
    <mergeCell ref="J43:J50"/>
    <mergeCell ref="J51:J54"/>
    <mergeCell ref="J55:J62"/>
    <mergeCell ref="J63:J70"/>
    <mergeCell ref="J79:J86"/>
    <mergeCell ref="J87:J90"/>
    <mergeCell ref="J91:J98"/>
    <mergeCell ref="J99:J106"/>
    <mergeCell ref="J107:J114"/>
    <mergeCell ref="J115:J122"/>
    <mergeCell ref="J123:J130"/>
    <mergeCell ref="G51:I52"/>
    <mergeCell ref="G15:I16"/>
    <mergeCell ref="G87:I88"/>
    <mergeCell ref="G53:G54"/>
    <mergeCell ref="G89:G90"/>
    <mergeCell ref="J71:J78"/>
    <mergeCell ref="F123:F130"/>
    <mergeCell ref="F115:F122"/>
    <mergeCell ref="D91:D98"/>
    <mergeCell ref="D99:D106"/>
    <mergeCell ref="E123:E130"/>
    <mergeCell ref="F107:F114"/>
    <mergeCell ref="F51:F54"/>
    <mergeCell ref="C43:C50"/>
    <mergeCell ref="E43:E50"/>
    <mergeCell ref="C115:C122"/>
    <mergeCell ref="E115:E122"/>
    <mergeCell ref="C107:C114"/>
    <mergeCell ref="C123:C130"/>
    <mergeCell ref="E107:E114"/>
    <mergeCell ref="D107:D114"/>
    <mergeCell ref="D115:D122"/>
    <mergeCell ref="D123:D130"/>
    <mergeCell ref="K35:K42"/>
    <mergeCell ref="K43:K50"/>
    <mergeCell ref="K51:K54"/>
    <mergeCell ref="K55:K62"/>
    <mergeCell ref="K63:K70"/>
    <mergeCell ref="K15:K18"/>
    <mergeCell ref="C12:K12"/>
    <mergeCell ref="C13:K13"/>
    <mergeCell ref="K19:K26"/>
    <mergeCell ref="K27:K34"/>
    <mergeCell ref="C27:C34"/>
    <mergeCell ref="E27:E34"/>
    <mergeCell ref="G17:G18"/>
    <mergeCell ref="C15:C18"/>
    <mergeCell ref="C19:C26"/>
    <mergeCell ref="E19:E26"/>
    <mergeCell ref="C35:C42"/>
    <mergeCell ref="D35:D42"/>
    <mergeCell ref="E35:E42"/>
    <mergeCell ref="F35:F42"/>
    <mergeCell ref="J35:J42"/>
    <mergeCell ref="H17:H18"/>
    <mergeCell ref="H53:H54"/>
    <mergeCell ref="K107:K114"/>
    <mergeCell ref="K115:K122"/>
    <mergeCell ref="K123:K130"/>
    <mergeCell ref="K131:K138"/>
    <mergeCell ref="K71:K78"/>
    <mergeCell ref="K79:K86"/>
    <mergeCell ref="K87:K90"/>
    <mergeCell ref="K91:K98"/>
    <mergeCell ref="K99:K106"/>
    <mergeCell ref="B91:B98"/>
    <mergeCell ref="B99:B106"/>
    <mergeCell ref="B107:B114"/>
    <mergeCell ref="B115:B122"/>
    <mergeCell ref="B123:B130"/>
    <mergeCell ref="B131:B138"/>
    <mergeCell ref="B15:B18"/>
    <mergeCell ref="B19:B26"/>
    <mergeCell ref="B27:B34"/>
    <mergeCell ref="B35:B42"/>
    <mergeCell ref="B43:B50"/>
    <mergeCell ref="B51:B54"/>
    <mergeCell ref="B55:B62"/>
    <mergeCell ref="B63:B70"/>
    <mergeCell ref="B71:B78"/>
  </mergeCells>
  <dataValidations count="1">
    <dataValidation type="list" allowBlank="1" showInputMessage="1" showErrorMessage="1" sqref="J91:J138 J55:J86 F19:F50 J19:J50 F91:F138 F55:F86" xr:uid="{00000000-0002-0000-0600-000000000000}">
      <formula1>"1,2,3"</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62F13"/>
  </sheetPr>
  <dimension ref="B1:N134"/>
  <sheetViews>
    <sheetView showGridLines="0" topLeftCell="F120" zoomScaleNormal="100" workbookViewId="0">
      <selection activeCell="J127" sqref="J127:J134"/>
    </sheetView>
  </sheetViews>
  <sheetFormatPr defaultColWidth="3.28515625" defaultRowHeight="22.5" customHeight="1"/>
  <cols>
    <col min="1" max="1" width="2.5703125" style="9" customWidth="1"/>
    <col min="2" max="2" width="4.42578125" style="9" hidden="1" customWidth="1"/>
    <col min="3" max="4" width="42.5703125" style="9" customWidth="1"/>
    <col min="5" max="5" width="38" style="9" customWidth="1"/>
    <col min="6" max="6" width="7.42578125" style="9" customWidth="1"/>
    <col min="7" max="7" width="3.5703125" style="9" bestFit="1" customWidth="1"/>
    <col min="8" max="8" width="29.28515625" style="9" customWidth="1"/>
    <col min="9" max="9" width="36.28515625" style="9" customWidth="1"/>
    <col min="10" max="10" width="7.42578125" style="9" customWidth="1"/>
    <col min="11" max="11" width="22.5703125" style="9" customWidth="1"/>
    <col min="12" max="12" width="4" style="52" bestFit="1" customWidth="1"/>
    <col min="13" max="13" width="8.42578125" style="52" bestFit="1" customWidth="1"/>
    <col min="14" max="14" width="9.5703125" style="54" customWidth="1"/>
    <col min="15" max="16363" width="3.28515625" style="9" customWidth="1"/>
    <col min="16364" max="16384" width="3.28515625" style="9"/>
  </cols>
  <sheetData>
    <row r="1" spans="3:11" ht="10.15" customHeight="1"/>
    <row r="2" spans="3:11" ht="10.15" customHeight="1"/>
    <row r="3" spans="3:11" ht="10.15" customHeight="1"/>
    <row r="4" spans="3:11" ht="10.15" customHeight="1"/>
    <row r="5" spans="3:11" ht="10.15" customHeight="1"/>
    <row r="6" spans="3:11" ht="10.15" customHeight="1"/>
    <row r="7" spans="3:11" ht="10.15" customHeight="1"/>
    <row r="8" spans="3:11" ht="10.15" customHeight="1"/>
    <row r="9" spans="3:11" ht="10.15" customHeight="1"/>
    <row r="10" spans="3:11" ht="31.5" customHeight="1"/>
    <row r="11" spans="3:11" ht="24.75" customHeight="1"/>
    <row r="12" spans="3:11" ht="20.25" customHeight="1"/>
    <row r="13" spans="3:11" ht="10.15" customHeight="1"/>
    <row r="14" spans="3:11" ht="20.100000000000001" customHeight="1">
      <c r="C14" s="567" t="s">
        <v>491</v>
      </c>
      <c r="D14" s="567"/>
      <c r="E14" s="567"/>
      <c r="F14" s="567"/>
      <c r="G14" s="567"/>
      <c r="H14" s="567"/>
      <c r="I14" s="567"/>
      <c r="J14" s="567"/>
      <c r="K14" s="567"/>
    </row>
    <row r="15" spans="3:11" ht="33.6" customHeight="1">
      <c r="C15" s="360" t="s">
        <v>492</v>
      </c>
      <c r="D15" s="360"/>
      <c r="E15" s="360"/>
      <c r="F15" s="360"/>
      <c r="G15" s="360"/>
      <c r="H15" s="360"/>
      <c r="I15" s="360"/>
      <c r="J15" s="360"/>
      <c r="K15" s="360"/>
    </row>
    <row r="16" spans="3:11" ht="10.15" customHeight="1">
      <c r="C16" s="10"/>
      <c r="D16" s="10"/>
      <c r="F16" s="11"/>
    </row>
    <row r="17" spans="2:14" ht="36.75" customHeight="1">
      <c r="B17" s="562" t="s">
        <v>111</v>
      </c>
      <c r="C17" s="561" t="s">
        <v>493</v>
      </c>
      <c r="D17" s="568" t="s">
        <v>8</v>
      </c>
      <c r="E17" s="571" t="s">
        <v>114</v>
      </c>
      <c r="F17" s="570" t="s">
        <v>262</v>
      </c>
      <c r="G17" s="569" t="s">
        <v>116</v>
      </c>
      <c r="H17" s="569"/>
      <c r="I17" s="569"/>
      <c r="J17" s="570" t="s">
        <v>263</v>
      </c>
      <c r="K17" s="565" t="s">
        <v>161</v>
      </c>
      <c r="L17" s="438"/>
      <c r="M17" s="438"/>
      <c r="N17" s="582"/>
    </row>
    <row r="18" spans="2:14" ht="29.25" customHeight="1">
      <c r="B18" s="562"/>
      <c r="C18" s="561"/>
      <c r="D18" s="568"/>
      <c r="E18" s="572"/>
      <c r="F18" s="570"/>
      <c r="G18" s="569" t="s">
        <v>13</v>
      </c>
      <c r="H18" s="568" t="s">
        <v>15</v>
      </c>
      <c r="I18" s="568" t="s">
        <v>494</v>
      </c>
      <c r="J18" s="570"/>
      <c r="K18" s="565"/>
      <c r="L18" s="438"/>
      <c r="M18" s="438"/>
      <c r="N18" s="582"/>
    </row>
    <row r="19" spans="2:14" ht="103.5" customHeight="1" thickBot="1">
      <c r="B19" s="562"/>
      <c r="C19" s="561"/>
      <c r="D19" s="568"/>
      <c r="E19" s="573"/>
      <c r="F19" s="570"/>
      <c r="G19" s="569"/>
      <c r="H19" s="569"/>
      <c r="I19" s="569"/>
      <c r="J19" s="570"/>
      <c r="K19" s="566"/>
      <c r="L19" s="438"/>
      <c r="M19" s="438"/>
      <c r="N19" s="582"/>
    </row>
    <row r="20" spans="2:14" ht="66">
      <c r="B20" s="295" t="str">
        <f>+LEFT(C20,4)</f>
        <v>16.1</v>
      </c>
      <c r="C20" s="470" t="s">
        <v>495</v>
      </c>
      <c r="D20" s="252" t="s">
        <v>496</v>
      </c>
      <c r="E20" s="333" t="s">
        <v>497</v>
      </c>
      <c r="F20" s="258">
        <v>3</v>
      </c>
      <c r="G20" s="82">
        <v>1</v>
      </c>
      <c r="H20" s="123" t="s">
        <v>240</v>
      </c>
      <c r="I20" s="236" t="s">
        <v>498</v>
      </c>
      <c r="J20" s="279">
        <v>3</v>
      </c>
      <c r="K20" s="311" t="str">
        <f t="shared" ref="K20" si="0">+IF(OR(ISBLANK(F20),ISBLANK(J20)),"",IF(OR(AND(F20=1,J20=1),AND(F20=1,J20=2),AND(F20=1,J20=3)),"Deficiencia de control mayor (diseño y ejecución)",IF(OR(AND(F20=2,J20=2),AND(F20=3,J20=1),AND(F20=3,J20=2),AND(F20=2,J20=1)),"Deficiencia de control (diseño o ejecución)",IF(AND(F20=2,J20=3),"Oportunidad de mejora","Mantenimiento del control"))))</f>
        <v>Mantenimiento del control</v>
      </c>
      <c r="L20" s="292">
        <f>+IF(K20="",312,IF(K20="Deficiencia de control mayor (diseño y ejecución)",320,IF(K20="Deficiencia de control (diseño o ejecución)",340,IF(K20="Oportunidad de mejora",360,380))))</f>
        <v>380</v>
      </c>
      <c r="M20" s="439">
        <v>5.8745000000000003</v>
      </c>
      <c r="N20" s="583">
        <f>+L20+M20</f>
        <v>385.87450000000001</v>
      </c>
    </row>
    <row r="21" spans="2:14" ht="43.15" customHeight="1">
      <c r="B21" s="296"/>
      <c r="C21" s="250"/>
      <c r="D21" s="253"/>
      <c r="E21" s="334"/>
      <c r="F21" s="259"/>
      <c r="G21" s="77">
        <v>2</v>
      </c>
      <c r="H21" s="124" t="s">
        <v>499</v>
      </c>
      <c r="I21" s="239"/>
      <c r="J21" s="280"/>
      <c r="K21" s="312"/>
      <c r="L21" s="292"/>
      <c r="M21" s="439"/>
      <c r="N21" s="583"/>
    </row>
    <row r="22" spans="2:14" ht="42" customHeight="1">
      <c r="B22" s="296"/>
      <c r="C22" s="250"/>
      <c r="D22" s="253"/>
      <c r="E22" s="334"/>
      <c r="F22" s="259"/>
      <c r="G22" s="77">
        <v>3</v>
      </c>
      <c r="H22" s="77"/>
      <c r="I22" s="239"/>
      <c r="J22" s="280"/>
      <c r="K22" s="312"/>
      <c r="L22" s="292"/>
      <c r="M22" s="439"/>
      <c r="N22" s="583"/>
    </row>
    <row r="23" spans="2:14" ht="16.5">
      <c r="B23" s="296"/>
      <c r="C23" s="250"/>
      <c r="D23" s="253"/>
      <c r="E23" s="334"/>
      <c r="F23" s="259"/>
      <c r="G23" s="77">
        <v>4</v>
      </c>
      <c r="H23" s="77"/>
      <c r="I23" s="239"/>
      <c r="J23" s="280"/>
      <c r="K23" s="312"/>
      <c r="L23" s="292"/>
      <c r="M23" s="439"/>
      <c r="N23" s="583"/>
    </row>
    <row r="24" spans="2:14" ht="16.5">
      <c r="B24" s="296"/>
      <c r="C24" s="250"/>
      <c r="D24" s="253"/>
      <c r="E24" s="334"/>
      <c r="F24" s="259"/>
      <c r="G24" s="77">
        <v>5</v>
      </c>
      <c r="H24" s="77"/>
      <c r="I24" s="239"/>
      <c r="J24" s="280"/>
      <c r="K24" s="312"/>
      <c r="L24" s="292"/>
      <c r="M24" s="439"/>
      <c r="N24" s="583"/>
    </row>
    <row r="25" spans="2:14" ht="16.5">
      <c r="B25" s="296"/>
      <c r="C25" s="250"/>
      <c r="D25" s="253"/>
      <c r="E25" s="334"/>
      <c r="F25" s="259"/>
      <c r="G25" s="77">
        <v>6</v>
      </c>
      <c r="H25" s="77"/>
      <c r="I25" s="239"/>
      <c r="J25" s="280"/>
      <c r="K25" s="312"/>
      <c r="L25" s="292"/>
      <c r="M25" s="439"/>
      <c r="N25" s="583"/>
    </row>
    <row r="26" spans="2:14" ht="13.9" customHeight="1">
      <c r="B26" s="296"/>
      <c r="C26" s="250"/>
      <c r="D26" s="253"/>
      <c r="E26" s="334"/>
      <c r="F26" s="259"/>
      <c r="G26" s="77">
        <v>7</v>
      </c>
      <c r="H26" s="77"/>
      <c r="I26" s="239"/>
      <c r="J26" s="280"/>
      <c r="K26" s="312"/>
      <c r="L26" s="292"/>
      <c r="M26" s="439"/>
      <c r="N26" s="583"/>
    </row>
    <row r="27" spans="2:14" ht="15" customHeight="1" thickBot="1">
      <c r="B27" s="297"/>
      <c r="C27" s="251"/>
      <c r="D27" s="254"/>
      <c r="E27" s="335"/>
      <c r="F27" s="260"/>
      <c r="G27" s="81">
        <v>8</v>
      </c>
      <c r="H27" s="81"/>
      <c r="I27" s="240"/>
      <c r="J27" s="281"/>
      <c r="K27" s="313"/>
      <c r="L27" s="292"/>
      <c r="M27" s="439"/>
      <c r="N27" s="583"/>
    </row>
    <row r="28" spans="2:14" ht="59.65" customHeight="1">
      <c r="B28" s="295" t="str">
        <f>+LEFT(C28,4)</f>
        <v>16.2</v>
      </c>
      <c r="C28" s="249" t="s">
        <v>500</v>
      </c>
      <c r="D28" s="252" t="s">
        <v>496</v>
      </c>
      <c r="E28" s="344" t="s">
        <v>501</v>
      </c>
      <c r="F28" s="258">
        <v>3</v>
      </c>
      <c r="G28" s="82">
        <v>1</v>
      </c>
      <c r="H28" s="123" t="s">
        <v>240</v>
      </c>
      <c r="I28" s="236" t="s">
        <v>502</v>
      </c>
      <c r="J28" s="279">
        <v>3</v>
      </c>
      <c r="K28" s="311" t="str">
        <f t="shared" ref="K28:K52" si="1">+IF(OR(ISBLANK(F28),ISBLANK(J28)),"",IF(OR(AND(F28=1,J28=1),AND(F28=1,J28=2),AND(F28=1,J28=3)),"Deficiencia de control mayor (diseño y ejecución)",IF(OR(AND(F28=2,J28=2),AND(F28=3,J28=1),AND(F28=3,J28=2),AND(F28=2,J28=1)),"Deficiencia de control (diseño o ejecución)",IF(AND(F28=2,J28=3),"Oportunidad de mejora","Mantenimiento del control"))))</f>
        <v>Mantenimiento del control</v>
      </c>
      <c r="L28" s="292">
        <f t="shared" ref="L28" si="2">+IF(K28="",312,IF(K28="Deficiencia de control mayor (diseño y ejecución)",320,IF(K28="Deficiencia de control (diseño o ejecución)",340,IF(K28="Oportunidad de mejora",360,380))))</f>
        <v>380</v>
      </c>
      <c r="M28" s="439">
        <v>5.9653999999999998</v>
      </c>
      <c r="N28" s="583">
        <f>+L28+M28</f>
        <v>385.96539999999999</v>
      </c>
    </row>
    <row r="29" spans="2:14" ht="16.5">
      <c r="B29" s="296"/>
      <c r="C29" s="250"/>
      <c r="D29" s="253"/>
      <c r="E29" s="345"/>
      <c r="F29" s="259"/>
      <c r="G29" s="77">
        <v>2</v>
      </c>
      <c r="H29" s="77" t="s">
        <v>503</v>
      </c>
      <c r="I29" s="239"/>
      <c r="J29" s="280"/>
      <c r="K29" s="312"/>
      <c r="L29" s="292"/>
      <c r="M29" s="439"/>
      <c r="N29" s="583"/>
    </row>
    <row r="30" spans="2:14" ht="16.5">
      <c r="B30" s="296"/>
      <c r="C30" s="250"/>
      <c r="D30" s="253"/>
      <c r="E30" s="345"/>
      <c r="F30" s="259"/>
      <c r="G30" s="77">
        <v>3</v>
      </c>
      <c r="H30" s="77" t="s">
        <v>196</v>
      </c>
      <c r="I30" s="239"/>
      <c r="J30" s="280"/>
      <c r="K30" s="312"/>
      <c r="L30" s="292"/>
      <c r="M30" s="439"/>
      <c r="N30" s="583"/>
    </row>
    <row r="31" spans="2:14" ht="16.5">
      <c r="B31" s="296"/>
      <c r="C31" s="250"/>
      <c r="D31" s="253"/>
      <c r="E31" s="345"/>
      <c r="F31" s="259"/>
      <c r="G31" s="77">
        <v>4</v>
      </c>
      <c r="H31" s="77"/>
      <c r="I31" s="239"/>
      <c r="J31" s="280"/>
      <c r="K31" s="312"/>
      <c r="L31" s="292"/>
      <c r="M31" s="439"/>
      <c r="N31" s="583"/>
    </row>
    <row r="32" spans="2:14" ht="16.5">
      <c r="B32" s="296"/>
      <c r="C32" s="250"/>
      <c r="D32" s="253"/>
      <c r="E32" s="345"/>
      <c r="F32" s="259"/>
      <c r="G32" s="77">
        <v>5</v>
      </c>
      <c r="H32" s="77"/>
      <c r="I32" s="239"/>
      <c r="J32" s="280"/>
      <c r="K32" s="312"/>
      <c r="L32" s="292"/>
      <c r="M32" s="439"/>
      <c r="N32" s="583"/>
    </row>
    <row r="33" spans="2:14" ht="16.5">
      <c r="B33" s="296"/>
      <c r="C33" s="250"/>
      <c r="D33" s="253"/>
      <c r="E33" s="345"/>
      <c r="F33" s="259"/>
      <c r="G33" s="77">
        <v>6</v>
      </c>
      <c r="H33" s="77"/>
      <c r="I33" s="239"/>
      <c r="J33" s="280"/>
      <c r="K33" s="312"/>
      <c r="L33" s="292"/>
      <c r="M33" s="439"/>
      <c r="N33" s="583"/>
    </row>
    <row r="34" spans="2:14" ht="16.5">
      <c r="B34" s="296"/>
      <c r="C34" s="250"/>
      <c r="D34" s="253"/>
      <c r="E34" s="345"/>
      <c r="F34" s="259"/>
      <c r="G34" s="77">
        <v>7</v>
      </c>
      <c r="H34" s="77"/>
      <c r="I34" s="239"/>
      <c r="J34" s="280"/>
      <c r="K34" s="312"/>
      <c r="L34" s="292"/>
      <c r="M34" s="439"/>
      <c r="N34" s="583"/>
    </row>
    <row r="35" spans="2:14" ht="28.9" customHeight="1" thickBot="1">
      <c r="B35" s="297"/>
      <c r="C35" s="251"/>
      <c r="D35" s="254"/>
      <c r="E35" s="346"/>
      <c r="F35" s="260"/>
      <c r="G35" s="81">
        <v>8</v>
      </c>
      <c r="H35" s="81"/>
      <c r="I35" s="240"/>
      <c r="J35" s="281"/>
      <c r="K35" s="313"/>
      <c r="L35" s="292"/>
      <c r="M35" s="439"/>
      <c r="N35" s="583"/>
    </row>
    <row r="36" spans="2:14" ht="102" customHeight="1">
      <c r="B36" s="295" t="str">
        <f>+LEFT(C36,4)</f>
        <v>16.3</v>
      </c>
      <c r="C36" s="249" t="s">
        <v>504</v>
      </c>
      <c r="D36" s="252" t="s">
        <v>505</v>
      </c>
      <c r="E36" s="333" t="s">
        <v>506</v>
      </c>
      <c r="F36" s="258">
        <v>3</v>
      </c>
      <c r="G36" s="82">
        <v>1</v>
      </c>
      <c r="H36" s="124" t="s">
        <v>332</v>
      </c>
      <c r="I36" s="333" t="s">
        <v>507</v>
      </c>
      <c r="J36" s="279">
        <v>3</v>
      </c>
      <c r="K36" s="311" t="str">
        <f t="shared" si="1"/>
        <v>Mantenimiento del control</v>
      </c>
      <c r="L36" s="292">
        <f t="shared" ref="L36" si="3">+IF(K36="",312,IF(K36="Deficiencia de control mayor (diseño y ejecución)",320,IF(K36="Deficiencia de control (diseño o ejecución)",340,IF(K36="Oportunidad de mejora",360,380))))</f>
        <v>380</v>
      </c>
      <c r="M36" s="439">
        <v>6.0122999999999998</v>
      </c>
      <c r="N36" s="583">
        <f>+L36+M36</f>
        <v>386.01229999999998</v>
      </c>
    </row>
    <row r="37" spans="2:14" ht="22.5" customHeight="1">
      <c r="B37" s="296"/>
      <c r="C37" s="250"/>
      <c r="D37" s="253"/>
      <c r="E37" s="334"/>
      <c r="F37" s="259"/>
      <c r="G37" s="77">
        <v>2</v>
      </c>
      <c r="H37" s="77"/>
      <c r="I37" s="334"/>
      <c r="J37" s="280"/>
      <c r="K37" s="312"/>
      <c r="L37" s="292"/>
      <c r="M37" s="439"/>
      <c r="N37" s="583"/>
    </row>
    <row r="38" spans="2:14" ht="22.5" customHeight="1">
      <c r="B38" s="296"/>
      <c r="C38" s="250"/>
      <c r="D38" s="253"/>
      <c r="E38" s="334"/>
      <c r="F38" s="259"/>
      <c r="G38" s="77">
        <v>3</v>
      </c>
      <c r="H38" s="77"/>
      <c r="I38" s="334"/>
      <c r="J38" s="280"/>
      <c r="K38" s="312"/>
      <c r="L38" s="292"/>
      <c r="M38" s="439"/>
      <c r="N38" s="583"/>
    </row>
    <row r="39" spans="2:14" ht="22.5" customHeight="1">
      <c r="B39" s="296"/>
      <c r="C39" s="250"/>
      <c r="D39" s="253"/>
      <c r="E39" s="334"/>
      <c r="F39" s="259"/>
      <c r="G39" s="77">
        <v>4</v>
      </c>
      <c r="H39" s="77"/>
      <c r="I39" s="334"/>
      <c r="J39" s="280"/>
      <c r="K39" s="312"/>
      <c r="L39" s="292"/>
      <c r="M39" s="439"/>
      <c r="N39" s="583"/>
    </row>
    <row r="40" spans="2:14" ht="22.5" customHeight="1" thickBot="1">
      <c r="B40" s="296"/>
      <c r="C40" s="250"/>
      <c r="D40" s="253"/>
      <c r="E40" s="334"/>
      <c r="F40" s="259"/>
      <c r="G40" s="77">
        <v>5</v>
      </c>
      <c r="H40" s="77"/>
      <c r="I40" s="334"/>
      <c r="J40" s="280"/>
      <c r="K40" s="312"/>
      <c r="L40" s="292"/>
      <c r="M40" s="439"/>
      <c r="N40" s="583"/>
    </row>
    <row r="41" spans="2:14" ht="0.4" customHeight="1" thickBot="1">
      <c r="B41" s="296"/>
      <c r="C41" s="250"/>
      <c r="D41" s="253"/>
      <c r="E41" s="334"/>
      <c r="F41" s="259"/>
      <c r="G41" s="77">
        <v>6</v>
      </c>
      <c r="H41" s="77"/>
      <c r="I41" s="334"/>
      <c r="J41" s="280"/>
      <c r="K41" s="312"/>
      <c r="L41" s="292"/>
      <c r="M41" s="439"/>
      <c r="N41" s="583"/>
    </row>
    <row r="42" spans="2:14" ht="22.5" hidden="1" customHeight="1" thickBot="1">
      <c r="B42" s="296"/>
      <c r="C42" s="250"/>
      <c r="D42" s="253"/>
      <c r="E42" s="334"/>
      <c r="F42" s="259"/>
      <c r="G42" s="77">
        <v>7</v>
      </c>
      <c r="H42" s="77"/>
      <c r="I42" s="334"/>
      <c r="J42" s="280"/>
      <c r="K42" s="312"/>
      <c r="L42" s="292"/>
      <c r="M42" s="439"/>
      <c r="N42" s="583"/>
    </row>
    <row r="43" spans="2:14" ht="22.5" hidden="1" customHeight="1" thickBot="1">
      <c r="B43" s="297"/>
      <c r="C43" s="251"/>
      <c r="D43" s="254"/>
      <c r="E43" s="335"/>
      <c r="F43" s="260"/>
      <c r="G43" s="81">
        <v>8</v>
      </c>
      <c r="H43" s="81"/>
      <c r="I43" s="335"/>
      <c r="J43" s="281"/>
      <c r="K43" s="313"/>
      <c r="L43" s="292"/>
      <c r="M43" s="439"/>
      <c r="N43" s="583"/>
    </row>
    <row r="44" spans="2:14" ht="165">
      <c r="B44" s="295" t="str">
        <f>+LEFT(C44,4)</f>
        <v>16.4</v>
      </c>
      <c r="C44" s="249" t="s">
        <v>508</v>
      </c>
      <c r="D44" s="252" t="s">
        <v>509</v>
      </c>
      <c r="E44" s="333" t="s">
        <v>510</v>
      </c>
      <c r="F44" s="258">
        <v>3</v>
      </c>
      <c r="G44" s="82">
        <v>1</v>
      </c>
      <c r="H44" s="123" t="s">
        <v>511</v>
      </c>
      <c r="I44" s="333" t="s">
        <v>512</v>
      </c>
      <c r="J44" s="279">
        <v>3</v>
      </c>
      <c r="K44" s="311" t="str">
        <f t="shared" si="1"/>
        <v>Mantenimiento del control</v>
      </c>
      <c r="L44" s="292">
        <f t="shared" ref="L44" si="4">+IF(K44="",312,IF(K44="Deficiencia de control mayor (diseño y ejecución)",320,IF(K44="Deficiencia de control (diseño o ejecución)",340,IF(K44="Oportunidad de mejora",360,380))))</f>
        <v>380</v>
      </c>
      <c r="M44" s="439">
        <v>6.1235999999999997</v>
      </c>
      <c r="N44" s="583">
        <f>+L44+M44</f>
        <v>386.12360000000001</v>
      </c>
    </row>
    <row r="45" spans="2:14" ht="42" customHeight="1">
      <c r="B45" s="296"/>
      <c r="C45" s="250"/>
      <c r="D45" s="253"/>
      <c r="E45" s="334"/>
      <c r="F45" s="259"/>
      <c r="G45" s="77">
        <v>2</v>
      </c>
      <c r="H45" s="124"/>
      <c r="I45" s="334"/>
      <c r="J45" s="280"/>
      <c r="K45" s="312"/>
      <c r="L45" s="292"/>
      <c r="M45" s="439"/>
      <c r="N45" s="583"/>
    </row>
    <row r="46" spans="2:14" ht="22.5" hidden="1" customHeight="1" thickBot="1">
      <c r="B46" s="296"/>
      <c r="C46" s="250"/>
      <c r="D46" s="253"/>
      <c r="E46" s="334"/>
      <c r="F46" s="259"/>
      <c r="G46" s="77">
        <v>3</v>
      </c>
      <c r="H46" s="77"/>
      <c r="I46" s="334"/>
      <c r="J46" s="280"/>
      <c r="K46" s="312"/>
      <c r="L46" s="292"/>
      <c r="M46" s="439"/>
      <c r="N46" s="583"/>
    </row>
    <row r="47" spans="2:14" ht="22.5" hidden="1" customHeight="1" thickBot="1">
      <c r="B47" s="296"/>
      <c r="C47" s="250"/>
      <c r="D47" s="253"/>
      <c r="E47" s="334"/>
      <c r="F47" s="259"/>
      <c r="G47" s="77">
        <v>4</v>
      </c>
      <c r="H47" s="77"/>
      <c r="I47" s="334"/>
      <c r="J47" s="280"/>
      <c r="K47" s="312"/>
      <c r="L47" s="292"/>
      <c r="M47" s="439"/>
      <c r="N47" s="583"/>
    </row>
    <row r="48" spans="2:14" ht="22.5" hidden="1" customHeight="1" thickBot="1">
      <c r="B48" s="296"/>
      <c r="C48" s="250"/>
      <c r="D48" s="253"/>
      <c r="E48" s="334"/>
      <c r="F48" s="259"/>
      <c r="G48" s="77">
        <v>5</v>
      </c>
      <c r="H48" s="77"/>
      <c r="I48" s="334"/>
      <c r="J48" s="280"/>
      <c r="K48" s="312"/>
      <c r="L48" s="292"/>
      <c r="M48" s="439"/>
      <c r="N48" s="583"/>
    </row>
    <row r="49" spans="2:14" ht="22.5" hidden="1" customHeight="1" thickBot="1">
      <c r="B49" s="296"/>
      <c r="C49" s="250"/>
      <c r="D49" s="253"/>
      <c r="E49" s="334"/>
      <c r="F49" s="259"/>
      <c r="G49" s="77">
        <v>6</v>
      </c>
      <c r="H49" s="77"/>
      <c r="I49" s="334"/>
      <c r="J49" s="280"/>
      <c r="K49" s="312"/>
      <c r="L49" s="292"/>
      <c r="M49" s="439"/>
      <c r="N49" s="583"/>
    </row>
    <row r="50" spans="2:14" ht="22.5" hidden="1" customHeight="1" thickBot="1">
      <c r="B50" s="296"/>
      <c r="C50" s="250"/>
      <c r="D50" s="253"/>
      <c r="E50" s="334"/>
      <c r="F50" s="259"/>
      <c r="G50" s="77">
        <v>7</v>
      </c>
      <c r="H50" s="77"/>
      <c r="I50" s="334"/>
      <c r="J50" s="280"/>
      <c r="K50" s="312"/>
      <c r="L50" s="292"/>
      <c r="M50" s="439"/>
      <c r="N50" s="583"/>
    </row>
    <row r="51" spans="2:14" ht="2.65" customHeight="1" thickBot="1">
      <c r="B51" s="297"/>
      <c r="C51" s="251"/>
      <c r="D51" s="254"/>
      <c r="E51" s="335"/>
      <c r="F51" s="260"/>
      <c r="G51" s="81">
        <v>8</v>
      </c>
      <c r="H51" s="81"/>
      <c r="I51" s="335"/>
      <c r="J51" s="281"/>
      <c r="K51" s="313"/>
      <c r="L51" s="292"/>
      <c r="M51" s="439"/>
      <c r="N51" s="583"/>
    </row>
    <row r="52" spans="2:14" ht="127.9" customHeight="1">
      <c r="B52" s="295" t="str">
        <f>+LEFT(C52,4)</f>
        <v>16.5</v>
      </c>
      <c r="C52" s="249" t="s">
        <v>513</v>
      </c>
      <c r="D52" s="252" t="s">
        <v>335</v>
      </c>
      <c r="E52" s="333" t="s">
        <v>514</v>
      </c>
      <c r="F52" s="258">
        <v>3</v>
      </c>
      <c r="G52" s="82">
        <v>1</v>
      </c>
      <c r="H52" s="123" t="s">
        <v>515</v>
      </c>
      <c r="I52" s="333" t="s">
        <v>516</v>
      </c>
      <c r="J52" s="279">
        <v>3</v>
      </c>
      <c r="K52" s="311" t="str">
        <f t="shared" si="1"/>
        <v>Mantenimiento del control</v>
      </c>
      <c r="L52" s="292">
        <f t="shared" ref="L52" si="5">+IF(K52="",312,IF(K52="Deficiencia de control mayor (diseño y ejecución)",320,IF(K52="Deficiencia de control (diseño o ejecución)",340,IF(K52="Oportunidad de mejora",360,380))))</f>
        <v>380</v>
      </c>
      <c r="M52" s="439">
        <v>6.2135999999999996</v>
      </c>
      <c r="N52" s="583">
        <f>+L52+M52</f>
        <v>386.21359999999999</v>
      </c>
    </row>
    <row r="53" spans="2:14" ht="16.5">
      <c r="B53" s="296"/>
      <c r="C53" s="250"/>
      <c r="D53" s="253"/>
      <c r="E53" s="334"/>
      <c r="F53" s="259"/>
      <c r="G53" s="77">
        <v>2</v>
      </c>
      <c r="H53" s="124"/>
      <c r="I53" s="334"/>
      <c r="J53" s="280"/>
      <c r="K53" s="312"/>
      <c r="L53" s="292"/>
      <c r="M53" s="439"/>
      <c r="N53" s="583"/>
    </row>
    <row r="54" spans="2:14" ht="16.5">
      <c r="B54" s="296"/>
      <c r="C54" s="250"/>
      <c r="D54" s="253"/>
      <c r="E54" s="334"/>
      <c r="F54" s="259"/>
      <c r="G54" s="77">
        <v>3</v>
      </c>
      <c r="H54" s="77"/>
      <c r="I54" s="334"/>
      <c r="J54" s="280"/>
      <c r="K54" s="312"/>
      <c r="L54" s="292"/>
      <c r="M54" s="439"/>
      <c r="N54" s="583"/>
    </row>
    <row r="55" spans="2:14" ht="16.5" hidden="1">
      <c r="B55" s="296"/>
      <c r="C55" s="250"/>
      <c r="D55" s="253"/>
      <c r="E55" s="334"/>
      <c r="F55" s="259"/>
      <c r="G55" s="77">
        <v>4</v>
      </c>
      <c r="H55" s="77"/>
      <c r="I55" s="334"/>
      <c r="J55" s="280"/>
      <c r="K55" s="312"/>
      <c r="L55" s="292"/>
      <c r="M55" s="439"/>
      <c r="N55" s="583"/>
    </row>
    <row r="56" spans="2:14" ht="16.5" hidden="1">
      <c r="B56" s="296"/>
      <c r="C56" s="250"/>
      <c r="D56" s="253"/>
      <c r="E56" s="334"/>
      <c r="F56" s="259"/>
      <c r="G56" s="77">
        <v>5</v>
      </c>
      <c r="H56" s="77"/>
      <c r="I56" s="334"/>
      <c r="J56" s="280"/>
      <c r="K56" s="312"/>
      <c r="L56" s="292"/>
      <c r="M56" s="439"/>
      <c r="N56" s="583"/>
    </row>
    <row r="57" spans="2:14" ht="16.5" hidden="1">
      <c r="B57" s="296"/>
      <c r="C57" s="250"/>
      <c r="D57" s="253"/>
      <c r="E57" s="334"/>
      <c r="F57" s="259"/>
      <c r="G57" s="77">
        <v>6</v>
      </c>
      <c r="H57" s="77"/>
      <c r="I57" s="334"/>
      <c r="J57" s="280"/>
      <c r="K57" s="312"/>
      <c r="L57" s="292"/>
      <c r="M57" s="439"/>
      <c r="N57" s="583"/>
    </row>
    <row r="58" spans="2:14" ht="16.5" hidden="1">
      <c r="B58" s="296"/>
      <c r="C58" s="250"/>
      <c r="D58" s="253"/>
      <c r="E58" s="334"/>
      <c r="F58" s="259"/>
      <c r="G58" s="77">
        <v>7</v>
      </c>
      <c r="H58" s="77"/>
      <c r="I58" s="334"/>
      <c r="J58" s="280"/>
      <c r="K58" s="312"/>
      <c r="L58" s="292"/>
      <c r="M58" s="439"/>
      <c r="N58" s="583"/>
    </row>
    <row r="59" spans="2:14" ht="17.25" hidden="1" thickBot="1">
      <c r="B59" s="297"/>
      <c r="C59" s="251"/>
      <c r="D59" s="254"/>
      <c r="E59" s="335"/>
      <c r="F59" s="260"/>
      <c r="G59" s="81">
        <v>8</v>
      </c>
      <c r="H59" s="81"/>
      <c r="I59" s="335"/>
      <c r="J59" s="281"/>
      <c r="K59" s="313"/>
      <c r="L59" s="292"/>
      <c r="M59" s="439"/>
      <c r="N59" s="583"/>
    </row>
    <row r="60" spans="2:14" ht="22.5" customHeight="1">
      <c r="B60" s="561"/>
      <c r="C60" s="561" t="s">
        <v>517</v>
      </c>
      <c r="D60" s="568" t="s">
        <v>8</v>
      </c>
      <c r="E60" s="579" t="s">
        <v>114</v>
      </c>
      <c r="F60" s="578" t="s">
        <v>262</v>
      </c>
      <c r="G60" s="574" t="s">
        <v>116</v>
      </c>
      <c r="H60" s="574"/>
      <c r="I60" s="574"/>
      <c r="J60" s="578" t="s">
        <v>263</v>
      </c>
      <c r="K60" s="563" t="s">
        <v>161</v>
      </c>
      <c r="L60" s="437"/>
      <c r="M60" s="437"/>
      <c r="N60" s="584"/>
    </row>
    <row r="61" spans="2:14" ht="22.5" customHeight="1">
      <c r="B61" s="561"/>
      <c r="C61" s="561"/>
      <c r="D61" s="568"/>
      <c r="E61" s="580"/>
      <c r="F61" s="578"/>
      <c r="G61" s="574" t="s">
        <v>13</v>
      </c>
      <c r="H61" s="568" t="s">
        <v>15</v>
      </c>
      <c r="I61" s="568" t="s">
        <v>494</v>
      </c>
      <c r="J61" s="578"/>
      <c r="K61" s="563"/>
      <c r="L61" s="437"/>
      <c r="M61" s="437"/>
      <c r="N61" s="584"/>
    </row>
    <row r="62" spans="2:14" ht="114.75" customHeight="1" thickBot="1">
      <c r="B62" s="561"/>
      <c r="C62" s="561"/>
      <c r="D62" s="568"/>
      <c r="E62" s="581"/>
      <c r="F62" s="578"/>
      <c r="G62" s="574"/>
      <c r="H62" s="569"/>
      <c r="I62" s="569"/>
      <c r="J62" s="578"/>
      <c r="K62" s="564"/>
      <c r="L62" s="437"/>
      <c r="M62" s="437"/>
      <c r="N62" s="584"/>
    </row>
    <row r="63" spans="2:14" ht="75" customHeight="1">
      <c r="B63" s="295" t="str">
        <f>+LEFT(C63,5)</f>
        <v xml:space="preserve">17.1 </v>
      </c>
      <c r="C63" s="249" t="s">
        <v>518</v>
      </c>
      <c r="D63" s="252" t="s">
        <v>335</v>
      </c>
      <c r="E63" s="333" t="s">
        <v>519</v>
      </c>
      <c r="F63" s="258">
        <v>3</v>
      </c>
      <c r="G63" s="82">
        <v>1</v>
      </c>
      <c r="H63" s="123" t="s">
        <v>240</v>
      </c>
      <c r="I63" s="236" t="s">
        <v>520</v>
      </c>
      <c r="J63" s="279">
        <v>2</v>
      </c>
      <c r="K63" s="311" t="str">
        <f t="shared" ref="K63:K119" si="6">+IF(OR(ISBLANK(F63),ISBLANK(J63)),"",IF(OR(AND(F63=1,J63=1),AND(F63=1,J63=2),AND(F63=1,J63=3)),"Deficiencia de control mayor (diseño y ejecución)",IF(OR(AND(F63=2,J63=2),AND(F63=3,J63=1),AND(F63=3,J63=2),AND(F63=2,J63=1)),"Deficiencia de control (diseño o ejecución)",IF(AND(F63=2,J63=3),"Oportunidad de mejora","Mantenimiento del control"))))</f>
        <v>Deficiencia de control (diseño o ejecución)</v>
      </c>
      <c r="L63" s="292">
        <f t="shared" ref="L63" si="7">+IF(K63="",312,IF(K63="Deficiencia de control mayor (diseño y ejecución)",320,IF(K63="Deficiencia de control (diseño o ejecución)",340,IF(K63="Oportunidad de mejora",360,380))))</f>
        <v>340</v>
      </c>
      <c r="M63" s="439">
        <v>6.3258000000000001</v>
      </c>
      <c r="N63" s="583">
        <f>+L63+M63</f>
        <v>346.32580000000002</v>
      </c>
    </row>
    <row r="64" spans="2:14" ht="36" customHeight="1">
      <c r="B64" s="296"/>
      <c r="C64" s="250"/>
      <c r="D64" s="253"/>
      <c r="E64" s="334"/>
      <c r="F64" s="259"/>
      <c r="G64" s="77">
        <v>2</v>
      </c>
      <c r="H64" s="77"/>
      <c r="I64" s="239"/>
      <c r="J64" s="280"/>
      <c r="K64" s="312"/>
      <c r="L64" s="292"/>
      <c r="M64" s="439"/>
      <c r="N64" s="583"/>
    </row>
    <row r="65" spans="2:14" ht="16.5">
      <c r="B65" s="296"/>
      <c r="C65" s="250"/>
      <c r="D65" s="253"/>
      <c r="E65" s="334"/>
      <c r="F65" s="259"/>
      <c r="G65" s="77">
        <v>3</v>
      </c>
      <c r="H65" s="77"/>
      <c r="I65" s="239"/>
      <c r="J65" s="280"/>
      <c r="K65" s="312"/>
      <c r="L65" s="292"/>
      <c r="M65" s="439"/>
      <c r="N65" s="583"/>
    </row>
    <row r="66" spans="2:14" ht="16.5">
      <c r="B66" s="296"/>
      <c r="C66" s="250"/>
      <c r="D66" s="253"/>
      <c r="E66" s="334"/>
      <c r="F66" s="259"/>
      <c r="G66" s="77">
        <v>4</v>
      </c>
      <c r="H66" s="77"/>
      <c r="I66" s="239"/>
      <c r="J66" s="280"/>
      <c r="K66" s="312"/>
      <c r="L66" s="292"/>
      <c r="M66" s="439"/>
      <c r="N66" s="583"/>
    </row>
    <row r="67" spans="2:14" ht="16.5">
      <c r="B67" s="296"/>
      <c r="C67" s="250"/>
      <c r="D67" s="253"/>
      <c r="E67" s="334"/>
      <c r="F67" s="259"/>
      <c r="G67" s="77">
        <v>5</v>
      </c>
      <c r="H67" s="77"/>
      <c r="I67" s="239"/>
      <c r="J67" s="280"/>
      <c r="K67" s="312"/>
      <c r="L67" s="292"/>
      <c r="M67" s="439"/>
      <c r="N67" s="583"/>
    </row>
    <row r="68" spans="2:14" ht="16.5">
      <c r="B68" s="296"/>
      <c r="C68" s="250"/>
      <c r="D68" s="253"/>
      <c r="E68" s="334"/>
      <c r="F68" s="259"/>
      <c r="G68" s="77">
        <v>6</v>
      </c>
      <c r="H68" s="77"/>
      <c r="I68" s="239"/>
      <c r="J68" s="280"/>
      <c r="K68" s="312"/>
      <c r="L68" s="292"/>
      <c r="M68" s="439"/>
      <c r="N68" s="583"/>
    </row>
    <row r="69" spans="2:14" ht="16.5">
      <c r="B69" s="296"/>
      <c r="C69" s="250"/>
      <c r="D69" s="253"/>
      <c r="E69" s="334"/>
      <c r="F69" s="259"/>
      <c r="G69" s="77">
        <v>7</v>
      </c>
      <c r="H69" s="77"/>
      <c r="I69" s="239"/>
      <c r="J69" s="280"/>
      <c r="K69" s="312"/>
      <c r="L69" s="292"/>
      <c r="M69" s="439"/>
      <c r="N69" s="583"/>
    </row>
    <row r="70" spans="2:14" ht="15.4" customHeight="1" thickBot="1">
      <c r="B70" s="297"/>
      <c r="C70" s="251"/>
      <c r="D70" s="254"/>
      <c r="E70" s="335"/>
      <c r="F70" s="260"/>
      <c r="G70" s="81">
        <v>8</v>
      </c>
      <c r="H70" s="81"/>
      <c r="I70" s="240"/>
      <c r="J70" s="281"/>
      <c r="K70" s="313"/>
      <c r="L70" s="292"/>
      <c r="M70" s="439"/>
      <c r="N70" s="583"/>
    </row>
    <row r="71" spans="2:14" ht="66" customHeight="1">
      <c r="B71" s="295" t="str">
        <f>+LEFT(C71,5)</f>
        <v xml:space="preserve">17.2 </v>
      </c>
      <c r="C71" s="575" t="s">
        <v>521</v>
      </c>
      <c r="D71" s="252" t="s">
        <v>335</v>
      </c>
      <c r="E71" s="333" t="s">
        <v>522</v>
      </c>
      <c r="F71" s="258">
        <v>3</v>
      </c>
      <c r="G71" s="82">
        <v>1</v>
      </c>
      <c r="H71" s="123" t="s">
        <v>240</v>
      </c>
      <c r="I71" s="333" t="s">
        <v>516</v>
      </c>
      <c r="J71" s="279">
        <v>3</v>
      </c>
      <c r="K71" s="311" t="str">
        <f t="shared" si="6"/>
        <v>Mantenimiento del control</v>
      </c>
      <c r="L71" s="292">
        <f t="shared" ref="L71" si="8">+IF(K71="",312,IF(K71="Deficiencia de control mayor (diseño y ejecución)",320,IF(K71="Deficiencia de control (diseño o ejecución)",340,IF(K71="Oportunidad de mejora",360,380))))</f>
        <v>380</v>
      </c>
      <c r="M71" s="439">
        <v>6.4569000000000001</v>
      </c>
      <c r="N71" s="583">
        <f>+L71+M71</f>
        <v>386.45690000000002</v>
      </c>
    </row>
    <row r="72" spans="2:14" ht="34.5" customHeight="1">
      <c r="B72" s="296"/>
      <c r="C72" s="576"/>
      <c r="D72" s="253"/>
      <c r="E72" s="334"/>
      <c r="F72" s="259"/>
      <c r="G72" s="77">
        <v>2</v>
      </c>
      <c r="H72" s="77"/>
      <c r="I72" s="334"/>
      <c r="J72" s="280"/>
      <c r="K72" s="312"/>
      <c r="L72" s="292"/>
      <c r="M72" s="439"/>
      <c r="N72" s="583"/>
    </row>
    <row r="73" spans="2:14" ht="34.5" customHeight="1" thickBot="1">
      <c r="B73" s="296"/>
      <c r="C73" s="576"/>
      <c r="D73" s="253"/>
      <c r="E73" s="334"/>
      <c r="F73" s="259"/>
      <c r="G73" s="77">
        <v>3</v>
      </c>
      <c r="H73" s="77"/>
      <c r="I73" s="334"/>
      <c r="J73" s="280"/>
      <c r="K73" s="312"/>
      <c r="L73" s="292"/>
      <c r="M73" s="439"/>
      <c r="N73" s="583"/>
    </row>
    <row r="74" spans="2:14" ht="34.5" hidden="1" customHeight="1" thickBot="1">
      <c r="B74" s="296"/>
      <c r="C74" s="576"/>
      <c r="D74" s="253"/>
      <c r="E74" s="334"/>
      <c r="F74" s="259"/>
      <c r="G74" s="77">
        <v>4</v>
      </c>
      <c r="H74" s="77"/>
      <c r="I74" s="334"/>
      <c r="J74" s="280"/>
      <c r="K74" s="312"/>
      <c r="L74" s="292"/>
      <c r="M74" s="439"/>
      <c r="N74" s="583"/>
    </row>
    <row r="75" spans="2:14" ht="34.5" hidden="1" customHeight="1" thickBot="1">
      <c r="B75" s="296"/>
      <c r="C75" s="576"/>
      <c r="D75" s="253"/>
      <c r="E75" s="334"/>
      <c r="F75" s="259"/>
      <c r="G75" s="77">
        <v>5</v>
      </c>
      <c r="H75" s="77"/>
      <c r="I75" s="334"/>
      <c r="J75" s="280"/>
      <c r="K75" s="312"/>
      <c r="L75" s="292"/>
      <c r="M75" s="439"/>
      <c r="N75" s="583"/>
    </row>
    <row r="76" spans="2:14" ht="34.5" hidden="1" customHeight="1" thickBot="1">
      <c r="B76" s="296"/>
      <c r="C76" s="576"/>
      <c r="D76" s="253"/>
      <c r="E76" s="334"/>
      <c r="F76" s="259"/>
      <c r="G76" s="77">
        <v>6</v>
      </c>
      <c r="H76" s="77"/>
      <c r="I76" s="334"/>
      <c r="J76" s="280"/>
      <c r="K76" s="312"/>
      <c r="L76" s="292"/>
      <c r="M76" s="439"/>
      <c r="N76" s="583"/>
    </row>
    <row r="77" spans="2:14" ht="34.5" hidden="1" customHeight="1" thickBot="1">
      <c r="B77" s="296"/>
      <c r="C77" s="576"/>
      <c r="D77" s="253"/>
      <c r="E77" s="334"/>
      <c r="F77" s="259"/>
      <c r="G77" s="77">
        <v>7</v>
      </c>
      <c r="H77" s="77"/>
      <c r="I77" s="334"/>
      <c r="J77" s="280"/>
      <c r="K77" s="312"/>
      <c r="L77" s="292"/>
      <c r="M77" s="439"/>
      <c r="N77" s="583"/>
    </row>
    <row r="78" spans="2:14" ht="34.5" hidden="1" customHeight="1" thickBot="1">
      <c r="B78" s="297"/>
      <c r="C78" s="577"/>
      <c r="D78" s="254"/>
      <c r="E78" s="335"/>
      <c r="F78" s="260"/>
      <c r="G78" s="81">
        <v>8</v>
      </c>
      <c r="H78" s="81"/>
      <c r="I78" s="335"/>
      <c r="J78" s="281"/>
      <c r="K78" s="313"/>
      <c r="L78" s="292"/>
      <c r="M78" s="439"/>
      <c r="N78" s="583"/>
    </row>
    <row r="79" spans="2:14" ht="148.5">
      <c r="B79" s="295" t="str">
        <f>+LEFT(C79,5)</f>
        <v xml:space="preserve">17.3 </v>
      </c>
      <c r="C79" s="249" t="s">
        <v>523</v>
      </c>
      <c r="D79" s="252" t="s">
        <v>335</v>
      </c>
      <c r="E79" s="344" t="s">
        <v>524</v>
      </c>
      <c r="F79" s="258">
        <v>3</v>
      </c>
      <c r="G79" s="82">
        <v>1</v>
      </c>
      <c r="H79" s="123" t="s">
        <v>525</v>
      </c>
      <c r="I79" s="236" t="s">
        <v>520</v>
      </c>
      <c r="J79" s="279">
        <v>3</v>
      </c>
      <c r="K79" s="311" t="str">
        <f t="shared" si="6"/>
        <v>Mantenimiento del control</v>
      </c>
      <c r="L79" s="292">
        <f t="shared" ref="L79" si="9">+IF(K79="",312,IF(K79="Deficiencia de control mayor (diseño y ejecución)",320,IF(K79="Deficiencia de control (diseño o ejecución)",340,IF(K79="Oportunidad de mejora",360,380))))</f>
        <v>380</v>
      </c>
      <c r="M79" s="439">
        <v>6.5632000000000001</v>
      </c>
      <c r="N79" s="583">
        <f>+L79+M79</f>
        <v>386.56319999999999</v>
      </c>
    </row>
    <row r="80" spans="2:14" ht="100.9" customHeight="1">
      <c r="B80" s="296"/>
      <c r="C80" s="250"/>
      <c r="D80" s="253"/>
      <c r="E80" s="354"/>
      <c r="F80" s="259"/>
      <c r="G80" s="77">
        <v>2</v>
      </c>
      <c r="H80" s="124"/>
      <c r="I80" s="239"/>
      <c r="J80" s="280"/>
      <c r="K80" s="312"/>
      <c r="L80" s="292"/>
      <c r="M80" s="439"/>
      <c r="N80" s="583"/>
    </row>
    <row r="81" spans="2:14" ht="15" customHeight="1">
      <c r="B81" s="296"/>
      <c r="C81" s="250"/>
      <c r="D81" s="253"/>
      <c r="E81" s="354"/>
      <c r="F81" s="259"/>
      <c r="G81" s="77">
        <v>3</v>
      </c>
      <c r="H81" s="77"/>
      <c r="I81" s="239"/>
      <c r="J81" s="280"/>
      <c r="K81" s="312"/>
      <c r="L81" s="292"/>
      <c r="M81" s="439"/>
      <c r="N81" s="583"/>
    </row>
    <row r="82" spans="2:14" ht="22.5" customHeight="1">
      <c r="B82" s="296"/>
      <c r="C82" s="250"/>
      <c r="D82" s="253"/>
      <c r="E82" s="354"/>
      <c r="F82" s="259"/>
      <c r="G82" s="77">
        <v>4</v>
      </c>
      <c r="H82" s="77"/>
      <c r="I82" s="239"/>
      <c r="J82" s="280"/>
      <c r="K82" s="312"/>
      <c r="L82" s="292"/>
      <c r="M82" s="439"/>
      <c r="N82" s="583"/>
    </row>
    <row r="83" spans="2:14" ht="1.5" customHeight="1" thickBot="1">
      <c r="B83" s="296"/>
      <c r="C83" s="250"/>
      <c r="D83" s="253"/>
      <c r="E83" s="354"/>
      <c r="F83" s="259"/>
      <c r="G83" s="77">
        <v>5</v>
      </c>
      <c r="H83" s="77"/>
      <c r="I83" s="239"/>
      <c r="J83" s="280"/>
      <c r="K83" s="312"/>
      <c r="L83" s="292"/>
      <c r="M83" s="439"/>
      <c r="N83" s="583"/>
    </row>
    <row r="84" spans="2:14" ht="22.5" hidden="1" customHeight="1" thickBot="1">
      <c r="B84" s="296"/>
      <c r="C84" s="250"/>
      <c r="D84" s="253"/>
      <c r="E84" s="354"/>
      <c r="F84" s="259"/>
      <c r="G84" s="77">
        <v>6</v>
      </c>
      <c r="H84" s="77"/>
      <c r="I84" s="239"/>
      <c r="J84" s="280"/>
      <c r="K84" s="312"/>
      <c r="L84" s="292"/>
      <c r="M84" s="439"/>
      <c r="N84" s="583"/>
    </row>
    <row r="85" spans="2:14" ht="22.5" hidden="1" customHeight="1" thickBot="1">
      <c r="B85" s="296"/>
      <c r="C85" s="250"/>
      <c r="D85" s="253"/>
      <c r="E85" s="354"/>
      <c r="F85" s="259"/>
      <c r="G85" s="77">
        <v>7</v>
      </c>
      <c r="H85" s="77"/>
      <c r="I85" s="239"/>
      <c r="J85" s="280"/>
      <c r="K85" s="312"/>
      <c r="L85" s="292"/>
      <c r="M85" s="439"/>
      <c r="N85" s="583"/>
    </row>
    <row r="86" spans="2:14" ht="22.5" hidden="1" customHeight="1" thickBot="1">
      <c r="B86" s="297"/>
      <c r="C86" s="251"/>
      <c r="D86" s="254"/>
      <c r="E86" s="355"/>
      <c r="F86" s="260"/>
      <c r="G86" s="81">
        <v>8</v>
      </c>
      <c r="H86" s="81"/>
      <c r="I86" s="240"/>
      <c r="J86" s="281"/>
      <c r="K86" s="313"/>
      <c r="L86" s="292"/>
      <c r="M86" s="439"/>
      <c r="N86" s="583"/>
    </row>
    <row r="87" spans="2:14" ht="66">
      <c r="B87" s="295" t="str">
        <f>+LEFT(C87,5)</f>
        <v xml:space="preserve">17.4 </v>
      </c>
      <c r="C87" s="249" t="s">
        <v>526</v>
      </c>
      <c r="D87" s="252" t="s">
        <v>335</v>
      </c>
      <c r="E87" s="333" t="s">
        <v>527</v>
      </c>
      <c r="F87" s="258">
        <v>3</v>
      </c>
      <c r="G87" s="82">
        <v>1</v>
      </c>
      <c r="H87" s="123" t="s">
        <v>240</v>
      </c>
      <c r="I87" s="236" t="s">
        <v>528</v>
      </c>
      <c r="J87" s="279">
        <v>2</v>
      </c>
      <c r="K87" s="311" t="str">
        <f t="shared" si="6"/>
        <v>Deficiencia de control (diseño o ejecución)</v>
      </c>
      <c r="L87" s="292">
        <f t="shared" ref="L87" si="10">+IF(K87="",312,IF(K87="Deficiencia de control mayor (diseño y ejecución)",320,IF(K87="Deficiencia de control (diseño o ejecución)",340,IF(K87="Oportunidad de mejora",360,380))))</f>
        <v>340</v>
      </c>
      <c r="M87" s="439">
        <v>6.7854000000000001</v>
      </c>
      <c r="N87" s="583">
        <f>+L87+M87</f>
        <v>346.78539999999998</v>
      </c>
    </row>
    <row r="88" spans="2:14" ht="99">
      <c r="B88" s="296"/>
      <c r="C88" s="250"/>
      <c r="D88" s="253"/>
      <c r="E88" s="334"/>
      <c r="F88" s="259"/>
      <c r="G88" s="77">
        <v>2</v>
      </c>
      <c r="H88" s="124" t="s">
        <v>529</v>
      </c>
      <c r="I88" s="239"/>
      <c r="J88" s="280"/>
      <c r="K88" s="312"/>
      <c r="L88" s="292"/>
      <c r="M88" s="439"/>
      <c r="N88" s="583"/>
    </row>
    <row r="89" spans="2:14" ht="81" customHeight="1">
      <c r="B89" s="296"/>
      <c r="C89" s="250"/>
      <c r="D89" s="253"/>
      <c r="E89" s="334"/>
      <c r="F89" s="259"/>
      <c r="G89" s="77">
        <v>3</v>
      </c>
      <c r="H89" s="124" t="s">
        <v>530</v>
      </c>
      <c r="I89" s="239"/>
      <c r="J89" s="280"/>
      <c r="K89" s="312"/>
      <c r="L89" s="292"/>
      <c r="M89" s="439"/>
      <c r="N89" s="583"/>
    </row>
    <row r="90" spans="2:14" ht="1.9" customHeight="1" thickBot="1">
      <c r="B90" s="296"/>
      <c r="C90" s="250"/>
      <c r="D90" s="253"/>
      <c r="E90" s="334"/>
      <c r="F90" s="259"/>
      <c r="G90" s="77">
        <v>4</v>
      </c>
      <c r="H90" s="77"/>
      <c r="I90" s="239"/>
      <c r="J90" s="280"/>
      <c r="K90" s="312"/>
      <c r="L90" s="292"/>
      <c r="M90" s="439"/>
      <c r="N90" s="583"/>
    </row>
    <row r="91" spans="2:14" ht="22.5" hidden="1" customHeight="1" thickBot="1">
      <c r="B91" s="296"/>
      <c r="C91" s="250"/>
      <c r="D91" s="253"/>
      <c r="E91" s="334"/>
      <c r="F91" s="259"/>
      <c r="G91" s="77">
        <v>5</v>
      </c>
      <c r="H91" s="77"/>
      <c r="I91" s="239"/>
      <c r="J91" s="280"/>
      <c r="K91" s="312"/>
      <c r="L91" s="292"/>
      <c r="M91" s="439"/>
      <c r="N91" s="583"/>
    </row>
    <row r="92" spans="2:14" ht="22.5" hidden="1" customHeight="1" thickBot="1">
      <c r="B92" s="296"/>
      <c r="C92" s="250"/>
      <c r="D92" s="253"/>
      <c r="E92" s="334"/>
      <c r="F92" s="259"/>
      <c r="G92" s="77">
        <v>6</v>
      </c>
      <c r="H92" s="77"/>
      <c r="I92" s="239"/>
      <c r="J92" s="280"/>
      <c r="K92" s="312"/>
      <c r="L92" s="292"/>
      <c r="M92" s="439"/>
      <c r="N92" s="583"/>
    </row>
    <row r="93" spans="2:14" ht="22.5" hidden="1" customHeight="1" thickBot="1">
      <c r="B93" s="296"/>
      <c r="C93" s="250"/>
      <c r="D93" s="253"/>
      <c r="E93" s="334"/>
      <c r="F93" s="259"/>
      <c r="G93" s="77">
        <v>7</v>
      </c>
      <c r="H93" s="77"/>
      <c r="I93" s="239"/>
      <c r="J93" s="280"/>
      <c r="K93" s="312"/>
      <c r="L93" s="292"/>
      <c r="M93" s="439"/>
      <c r="N93" s="583"/>
    </row>
    <row r="94" spans="2:14" ht="22.5" hidden="1" customHeight="1" thickBot="1">
      <c r="B94" s="297"/>
      <c r="C94" s="251"/>
      <c r="D94" s="254"/>
      <c r="E94" s="335"/>
      <c r="F94" s="260"/>
      <c r="G94" s="81">
        <v>8</v>
      </c>
      <c r="H94" s="81"/>
      <c r="I94" s="240"/>
      <c r="J94" s="281"/>
      <c r="K94" s="313"/>
      <c r="L94" s="292"/>
      <c r="M94" s="439"/>
      <c r="N94" s="583"/>
    </row>
    <row r="95" spans="2:14" ht="22.5" customHeight="1">
      <c r="B95" s="295" t="str">
        <f>+LEFT(C95,5)</f>
        <v xml:space="preserve">17.5 </v>
      </c>
      <c r="C95" s="249" t="s">
        <v>531</v>
      </c>
      <c r="D95" s="252" t="s">
        <v>335</v>
      </c>
      <c r="E95" s="333" t="s">
        <v>532</v>
      </c>
      <c r="F95" s="258">
        <v>3</v>
      </c>
      <c r="G95" s="82">
        <v>1</v>
      </c>
      <c r="H95" s="82" t="s">
        <v>533</v>
      </c>
      <c r="I95" s="424" t="s">
        <v>534</v>
      </c>
      <c r="J95" s="279">
        <v>3</v>
      </c>
      <c r="K95" s="311" t="str">
        <f t="shared" si="6"/>
        <v>Mantenimiento del control</v>
      </c>
      <c r="L95" s="292">
        <f t="shared" ref="L95" si="11">+IF(K95="",312,IF(K95="Deficiencia de control mayor (diseño y ejecución)",320,IF(K95="Deficiencia de control (diseño o ejecución)",340,IF(K95="Oportunidad de mejora",360,380))))</f>
        <v>380</v>
      </c>
      <c r="M95" s="439">
        <v>6.8745000000000003</v>
      </c>
      <c r="N95" s="583">
        <f>+L95+M95</f>
        <v>386.87450000000001</v>
      </c>
    </row>
    <row r="96" spans="2:14" ht="22.5" customHeight="1">
      <c r="B96" s="296"/>
      <c r="C96" s="250"/>
      <c r="D96" s="253"/>
      <c r="E96" s="334"/>
      <c r="F96" s="259"/>
      <c r="G96" s="77">
        <v>2</v>
      </c>
      <c r="H96" s="77"/>
      <c r="I96" s="425"/>
      <c r="J96" s="280"/>
      <c r="K96" s="312"/>
      <c r="L96" s="292"/>
      <c r="M96" s="439"/>
      <c r="N96" s="583"/>
    </row>
    <row r="97" spans="2:14" ht="22.5" customHeight="1">
      <c r="B97" s="296"/>
      <c r="C97" s="250"/>
      <c r="D97" s="253"/>
      <c r="E97" s="334"/>
      <c r="F97" s="259"/>
      <c r="G97" s="77">
        <v>3</v>
      </c>
      <c r="H97" s="77"/>
      <c r="I97" s="425"/>
      <c r="J97" s="280"/>
      <c r="K97" s="312"/>
      <c r="L97" s="292"/>
      <c r="M97" s="439"/>
      <c r="N97" s="583"/>
    </row>
    <row r="98" spans="2:14" ht="22.5" customHeight="1">
      <c r="B98" s="296"/>
      <c r="C98" s="250"/>
      <c r="D98" s="253"/>
      <c r="E98" s="334"/>
      <c r="F98" s="259"/>
      <c r="G98" s="77">
        <v>4</v>
      </c>
      <c r="H98" s="77"/>
      <c r="I98" s="425"/>
      <c r="J98" s="280"/>
      <c r="K98" s="312"/>
      <c r="L98" s="292"/>
      <c r="M98" s="439"/>
      <c r="N98" s="583"/>
    </row>
    <row r="99" spans="2:14" ht="22.5" customHeight="1">
      <c r="B99" s="296"/>
      <c r="C99" s="250"/>
      <c r="D99" s="253"/>
      <c r="E99" s="334"/>
      <c r="F99" s="259"/>
      <c r="G99" s="77">
        <v>5</v>
      </c>
      <c r="H99" s="77"/>
      <c r="I99" s="425"/>
      <c r="J99" s="280"/>
      <c r="K99" s="312"/>
      <c r="L99" s="292"/>
      <c r="M99" s="439"/>
      <c r="N99" s="583"/>
    </row>
    <row r="100" spans="2:14" ht="22.5" customHeight="1">
      <c r="B100" s="296"/>
      <c r="C100" s="250"/>
      <c r="D100" s="253"/>
      <c r="E100" s="334"/>
      <c r="F100" s="259"/>
      <c r="G100" s="77">
        <v>6</v>
      </c>
      <c r="H100" s="77"/>
      <c r="I100" s="425"/>
      <c r="J100" s="280"/>
      <c r="K100" s="312"/>
      <c r="L100" s="292"/>
      <c r="M100" s="439"/>
      <c r="N100" s="583"/>
    </row>
    <row r="101" spans="2:14" ht="22.5" customHeight="1">
      <c r="B101" s="296"/>
      <c r="C101" s="250"/>
      <c r="D101" s="253"/>
      <c r="E101" s="334"/>
      <c r="F101" s="259"/>
      <c r="G101" s="77">
        <v>7</v>
      </c>
      <c r="H101" s="77"/>
      <c r="I101" s="425"/>
      <c r="J101" s="280"/>
      <c r="K101" s="312"/>
      <c r="L101" s="292"/>
      <c r="M101" s="439"/>
      <c r="N101" s="583"/>
    </row>
    <row r="102" spans="2:14" ht="22.5" customHeight="1" thickBot="1">
      <c r="B102" s="297"/>
      <c r="C102" s="251"/>
      <c r="D102" s="254"/>
      <c r="E102" s="335"/>
      <c r="F102" s="260"/>
      <c r="G102" s="81">
        <v>8</v>
      </c>
      <c r="H102" s="81"/>
      <c r="I102" s="426"/>
      <c r="J102" s="281"/>
      <c r="K102" s="313"/>
      <c r="L102" s="292"/>
      <c r="M102" s="439"/>
      <c r="N102" s="583"/>
    </row>
    <row r="103" spans="2:14" ht="115.5">
      <c r="B103" s="295" t="str">
        <f>+LEFT(C103,5)</f>
        <v xml:space="preserve">17.6 </v>
      </c>
      <c r="C103" s="249" t="s">
        <v>535</v>
      </c>
      <c r="D103" s="252" t="s">
        <v>536</v>
      </c>
      <c r="E103" s="333" t="s">
        <v>537</v>
      </c>
      <c r="F103" s="258">
        <v>3</v>
      </c>
      <c r="G103" s="82">
        <v>1</v>
      </c>
      <c r="H103" s="123" t="s">
        <v>538</v>
      </c>
      <c r="I103" s="236" t="s">
        <v>539</v>
      </c>
      <c r="J103" s="279">
        <v>3</v>
      </c>
      <c r="K103" s="311" t="str">
        <f t="shared" si="6"/>
        <v>Mantenimiento del control</v>
      </c>
      <c r="L103" s="292">
        <f t="shared" ref="L103" si="12">+IF(K103="",312,IF(K103="Deficiencia de control mayor (diseño y ejecución)",320,IF(K103="Deficiencia de control (diseño o ejecución)",340,IF(K103="Oportunidad de mejora",360,380))))</f>
        <v>380</v>
      </c>
      <c r="M103" s="439">
        <v>6.9874000000000001</v>
      </c>
      <c r="N103" s="583">
        <f>+L103+M103</f>
        <v>386.98739999999998</v>
      </c>
    </row>
    <row r="104" spans="2:14" ht="50.65" customHeight="1">
      <c r="B104" s="296"/>
      <c r="C104" s="250"/>
      <c r="D104" s="253"/>
      <c r="E104" s="334"/>
      <c r="F104" s="259"/>
      <c r="G104" s="77">
        <v>2</v>
      </c>
      <c r="H104" s="124"/>
      <c r="I104" s="239"/>
      <c r="J104" s="280"/>
      <c r="K104" s="312"/>
      <c r="L104" s="292"/>
      <c r="M104" s="439"/>
      <c r="N104" s="583"/>
    </row>
    <row r="105" spans="2:14" ht="22.5" customHeight="1">
      <c r="B105" s="296"/>
      <c r="C105" s="250"/>
      <c r="D105" s="253"/>
      <c r="E105" s="334"/>
      <c r="F105" s="259"/>
      <c r="G105" s="77">
        <v>3</v>
      </c>
      <c r="H105" s="77"/>
      <c r="I105" s="239"/>
      <c r="J105" s="280"/>
      <c r="K105" s="312"/>
      <c r="L105" s="292"/>
      <c r="M105" s="439"/>
      <c r="N105" s="583"/>
    </row>
    <row r="106" spans="2:14" ht="22.5" customHeight="1" thickBot="1">
      <c r="B106" s="296"/>
      <c r="C106" s="250"/>
      <c r="D106" s="253"/>
      <c r="E106" s="334"/>
      <c r="F106" s="259"/>
      <c r="G106" s="77">
        <v>4</v>
      </c>
      <c r="H106" s="77"/>
      <c r="I106" s="239"/>
      <c r="J106" s="280"/>
      <c r="K106" s="312"/>
      <c r="L106" s="292"/>
      <c r="M106" s="439"/>
      <c r="N106" s="583"/>
    </row>
    <row r="107" spans="2:14" ht="0.4" customHeight="1" thickBot="1">
      <c r="B107" s="296"/>
      <c r="C107" s="250"/>
      <c r="D107" s="253"/>
      <c r="E107" s="334"/>
      <c r="F107" s="259"/>
      <c r="G107" s="77">
        <v>5</v>
      </c>
      <c r="H107" s="77"/>
      <c r="I107" s="239"/>
      <c r="J107" s="280"/>
      <c r="K107" s="312"/>
      <c r="L107" s="292"/>
      <c r="M107" s="439"/>
      <c r="N107" s="583"/>
    </row>
    <row r="108" spans="2:14" ht="0.4" hidden="1" customHeight="1" thickBot="1">
      <c r="B108" s="296"/>
      <c r="C108" s="250"/>
      <c r="D108" s="253"/>
      <c r="E108" s="334"/>
      <c r="F108" s="259"/>
      <c r="G108" s="77">
        <v>6</v>
      </c>
      <c r="H108" s="77"/>
      <c r="I108" s="239"/>
      <c r="J108" s="280"/>
      <c r="K108" s="312"/>
      <c r="L108" s="292"/>
      <c r="M108" s="439"/>
      <c r="N108" s="583"/>
    </row>
    <row r="109" spans="2:14" ht="22.5" hidden="1" customHeight="1" thickBot="1">
      <c r="B109" s="296"/>
      <c r="C109" s="250"/>
      <c r="D109" s="253"/>
      <c r="E109" s="334"/>
      <c r="F109" s="259"/>
      <c r="G109" s="77">
        <v>7</v>
      </c>
      <c r="H109" s="77"/>
      <c r="I109" s="239"/>
      <c r="J109" s="280"/>
      <c r="K109" s="312"/>
      <c r="L109" s="292"/>
      <c r="M109" s="439"/>
      <c r="N109" s="583"/>
    </row>
    <row r="110" spans="2:14" ht="22.5" hidden="1" customHeight="1" thickBot="1">
      <c r="B110" s="297"/>
      <c r="C110" s="251"/>
      <c r="D110" s="254"/>
      <c r="E110" s="335"/>
      <c r="F110" s="260"/>
      <c r="G110" s="81">
        <v>8</v>
      </c>
      <c r="H110" s="81"/>
      <c r="I110" s="240"/>
      <c r="J110" s="281"/>
      <c r="K110" s="313"/>
      <c r="L110" s="292"/>
      <c r="M110" s="439"/>
      <c r="N110" s="583"/>
    </row>
    <row r="111" spans="2:14" ht="115.5">
      <c r="B111" s="295" t="str">
        <f>+LEFT(C111,5)</f>
        <v xml:space="preserve">17.7 </v>
      </c>
      <c r="C111" s="447" t="s">
        <v>540</v>
      </c>
      <c r="D111" s="252" t="s">
        <v>541</v>
      </c>
      <c r="E111" s="236" t="s">
        <v>542</v>
      </c>
      <c r="F111" s="258">
        <v>3</v>
      </c>
      <c r="G111" s="82">
        <v>1</v>
      </c>
      <c r="H111" s="123" t="s">
        <v>543</v>
      </c>
      <c r="I111" s="236" t="s">
        <v>544</v>
      </c>
      <c r="J111" s="279">
        <v>3</v>
      </c>
      <c r="K111" s="264" t="str">
        <f t="shared" si="6"/>
        <v>Mantenimiento del control</v>
      </c>
      <c r="L111" s="292">
        <f t="shared" ref="L111" si="13">+IF(K111="",312,IF(K111="Deficiencia de control mayor (diseño y ejecución)",320,IF(K111="Deficiencia de control (diseño o ejecución)",340,IF(K111="Oportunidad de mejora",360,380))))</f>
        <v>380</v>
      </c>
      <c r="M111" s="439">
        <v>6.9874499999999999</v>
      </c>
      <c r="N111" s="583">
        <f>+L111+M111</f>
        <v>386.98745000000002</v>
      </c>
    </row>
    <row r="112" spans="2:14" ht="45" customHeight="1">
      <c r="B112" s="296"/>
      <c r="C112" s="448"/>
      <c r="D112" s="253"/>
      <c r="E112" s="239"/>
      <c r="F112" s="259"/>
      <c r="G112" s="77">
        <v>2</v>
      </c>
      <c r="H112" s="124"/>
      <c r="I112" s="239"/>
      <c r="J112" s="280"/>
      <c r="K112" s="265"/>
      <c r="L112" s="292"/>
      <c r="M112" s="439"/>
      <c r="N112" s="583"/>
    </row>
    <row r="113" spans="2:14" ht="22.5" customHeight="1">
      <c r="B113" s="296"/>
      <c r="C113" s="448"/>
      <c r="D113" s="253"/>
      <c r="E113" s="239"/>
      <c r="F113" s="259"/>
      <c r="G113" s="77">
        <v>3</v>
      </c>
      <c r="H113" s="77"/>
      <c r="I113" s="239"/>
      <c r="J113" s="280"/>
      <c r="K113" s="265"/>
      <c r="L113" s="292"/>
      <c r="M113" s="439"/>
      <c r="N113" s="583"/>
    </row>
    <row r="114" spans="2:14" ht="22.5" hidden="1" customHeight="1" thickBot="1">
      <c r="B114" s="296"/>
      <c r="C114" s="448"/>
      <c r="D114" s="253"/>
      <c r="E114" s="239"/>
      <c r="F114" s="259"/>
      <c r="G114" s="77">
        <v>4</v>
      </c>
      <c r="H114" s="77"/>
      <c r="I114" s="239"/>
      <c r="J114" s="280"/>
      <c r="K114" s="265"/>
      <c r="L114" s="292"/>
      <c r="M114" s="439"/>
      <c r="N114" s="583"/>
    </row>
    <row r="115" spans="2:14" ht="22.5" hidden="1" customHeight="1" thickBot="1">
      <c r="B115" s="296"/>
      <c r="C115" s="448"/>
      <c r="D115" s="253"/>
      <c r="E115" s="239"/>
      <c r="F115" s="259"/>
      <c r="G115" s="77">
        <v>5</v>
      </c>
      <c r="H115" s="77"/>
      <c r="I115" s="239"/>
      <c r="J115" s="280"/>
      <c r="K115" s="265"/>
      <c r="L115" s="292"/>
      <c r="M115" s="439"/>
      <c r="N115" s="583"/>
    </row>
    <row r="116" spans="2:14" ht="22.5" hidden="1" customHeight="1" thickBot="1">
      <c r="B116" s="296"/>
      <c r="C116" s="448"/>
      <c r="D116" s="253"/>
      <c r="E116" s="239"/>
      <c r="F116" s="259"/>
      <c r="G116" s="77">
        <v>6</v>
      </c>
      <c r="H116" s="77"/>
      <c r="I116" s="239"/>
      <c r="J116" s="280"/>
      <c r="K116" s="265"/>
      <c r="L116" s="292"/>
      <c r="M116" s="439"/>
      <c r="N116" s="583"/>
    </row>
    <row r="117" spans="2:14" ht="22.5" hidden="1" customHeight="1" thickBot="1">
      <c r="B117" s="296"/>
      <c r="C117" s="448"/>
      <c r="D117" s="253"/>
      <c r="E117" s="239"/>
      <c r="F117" s="259"/>
      <c r="G117" s="77">
        <v>7</v>
      </c>
      <c r="H117" s="77"/>
      <c r="I117" s="239"/>
      <c r="J117" s="280"/>
      <c r="K117" s="265"/>
      <c r="L117" s="292"/>
      <c r="M117" s="439"/>
      <c r="N117" s="583"/>
    </row>
    <row r="118" spans="2:14" ht="2.65" customHeight="1" thickBot="1">
      <c r="B118" s="297"/>
      <c r="C118" s="449"/>
      <c r="D118" s="254"/>
      <c r="E118" s="240"/>
      <c r="F118" s="260"/>
      <c r="G118" s="81">
        <v>8</v>
      </c>
      <c r="H118" s="81"/>
      <c r="I118" s="240"/>
      <c r="J118" s="281"/>
      <c r="K118" s="266"/>
      <c r="L118" s="292"/>
      <c r="M118" s="439"/>
      <c r="N118" s="583"/>
    </row>
    <row r="119" spans="2:14" ht="66">
      <c r="B119" s="295" t="str">
        <f>+LEFT(C119,5)</f>
        <v xml:space="preserve">17.8 </v>
      </c>
      <c r="C119" s="447" t="s">
        <v>545</v>
      </c>
      <c r="D119" s="252" t="s">
        <v>541</v>
      </c>
      <c r="E119" s="236" t="s">
        <v>546</v>
      </c>
      <c r="F119" s="258">
        <v>3</v>
      </c>
      <c r="G119" s="76">
        <v>1</v>
      </c>
      <c r="H119" s="123" t="s">
        <v>240</v>
      </c>
      <c r="I119" s="236" t="s">
        <v>544</v>
      </c>
      <c r="J119" s="279">
        <v>3</v>
      </c>
      <c r="K119" s="264" t="str">
        <f t="shared" si="6"/>
        <v>Mantenimiento del control</v>
      </c>
      <c r="L119" s="292">
        <f t="shared" ref="L119" si="14">+IF(K119="",312,IF(K119="Deficiencia de control mayor (diseño y ejecución)",320,IF(K119="Deficiencia de control (diseño o ejecución)",340,IF(K119="Oportunidad de mejora",360,380))))</f>
        <v>380</v>
      </c>
      <c r="M119" s="439">
        <v>6.9874559999999999</v>
      </c>
      <c r="N119" s="583">
        <f>+L119+M119</f>
        <v>386.98745600000001</v>
      </c>
    </row>
    <row r="120" spans="2:14" ht="98.65" customHeight="1">
      <c r="B120" s="296"/>
      <c r="C120" s="448"/>
      <c r="D120" s="253"/>
      <c r="E120" s="239"/>
      <c r="F120" s="259"/>
      <c r="G120" s="77">
        <v>2</v>
      </c>
      <c r="H120" s="124" t="s">
        <v>547</v>
      </c>
      <c r="I120" s="239"/>
      <c r="J120" s="280"/>
      <c r="K120" s="265"/>
      <c r="L120" s="292"/>
      <c r="M120" s="439"/>
      <c r="N120" s="583"/>
    </row>
    <row r="121" spans="2:14" ht="22.5" customHeight="1">
      <c r="B121" s="296"/>
      <c r="C121" s="448"/>
      <c r="D121" s="253"/>
      <c r="E121" s="239"/>
      <c r="F121" s="259"/>
      <c r="G121" s="77">
        <v>3</v>
      </c>
      <c r="H121" s="77"/>
      <c r="I121" s="239"/>
      <c r="J121" s="280"/>
      <c r="K121" s="265"/>
      <c r="L121" s="292"/>
      <c r="M121" s="439"/>
      <c r="N121" s="583"/>
    </row>
    <row r="122" spans="2:14" ht="1.9" customHeight="1" thickBot="1">
      <c r="B122" s="296"/>
      <c r="C122" s="448"/>
      <c r="D122" s="253"/>
      <c r="E122" s="239"/>
      <c r="F122" s="259"/>
      <c r="G122" s="77">
        <v>4</v>
      </c>
      <c r="H122" s="77"/>
      <c r="I122" s="239"/>
      <c r="J122" s="280"/>
      <c r="K122" s="265"/>
      <c r="L122" s="292"/>
      <c r="M122" s="439"/>
      <c r="N122" s="583"/>
    </row>
    <row r="123" spans="2:14" ht="22.5" hidden="1" customHeight="1" thickBot="1">
      <c r="B123" s="296"/>
      <c r="C123" s="448"/>
      <c r="D123" s="253"/>
      <c r="E123" s="239"/>
      <c r="F123" s="259"/>
      <c r="G123" s="77">
        <v>5</v>
      </c>
      <c r="H123" s="77"/>
      <c r="I123" s="239"/>
      <c r="J123" s="280"/>
      <c r="K123" s="265"/>
      <c r="L123" s="292"/>
      <c r="M123" s="439"/>
      <c r="N123" s="583"/>
    </row>
    <row r="124" spans="2:14" ht="22.5" hidden="1" customHeight="1" thickBot="1">
      <c r="B124" s="296"/>
      <c r="C124" s="448"/>
      <c r="D124" s="253"/>
      <c r="E124" s="239"/>
      <c r="F124" s="259"/>
      <c r="G124" s="77">
        <v>6</v>
      </c>
      <c r="H124" s="77"/>
      <c r="I124" s="239"/>
      <c r="J124" s="280"/>
      <c r="K124" s="265"/>
      <c r="L124" s="292"/>
      <c r="M124" s="439"/>
      <c r="N124" s="583"/>
    </row>
    <row r="125" spans="2:14" ht="22.5" hidden="1" customHeight="1" thickBot="1">
      <c r="B125" s="296"/>
      <c r="C125" s="448"/>
      <c r="D125" s="253"/>
      <c r="E125" s="239"/>
      <c r="F125" s="259"/>
      <c r="G125" s="77">
        <v>7</v>
      </c>
      <c r="H125" s="77"/>
      <c r="I125" s="239"/>
      <c r="J125" s="280"/>
      <c r="K125" s="265"/>
      <c r="L125" s="292"/>
      <c r="M125" s="439"/>
      <c r="N125" s="583"/>
    </row>
    <row r="126" spans="2:14" ht="22.5" hidden="1" customHeight="1" thickBot="1">
      <c r="B126" s="297"/>
      <c r="C126" s="449"/>
      <c r="D126" s="254"/>
      <c r="E126" s="240"/>
      <c r="F126" s="260"/>
      <c r="G126" s="81">
        <v>8</v>
      </c>
      <c r="H126" s="81"/>
      <c r="I126" s="240"/>
      <c r="J126" s="281"/>
      <c r="K126" s="266"/>
      <c r="L126" s="292"/>
      <c r="M126" s="439"/>
      <c r="N126" s="583"/>
    </row>
    <row r="127" spans="2:14" ht="66">
      <c r="B127" s="295" t="str">
        <f>+LEFT(C127,5)</f>
        <v xml:space="preserve">17.9 </v>
      </c>
      <c r="C127" s="249" t="s">
        <v>548</v>
      </c>
      <c r="D127" s="252" t="s">
        <v>541</v>
      </c>
      <c r="E127" s="333" t="s">
        <v>549</v>
      </c>
      <c r="F127" s="258">
        <v>3</v>
      </c>
      <c r="G127" s="82">
        <v>1</v>
      </c>
      <c r="H127" s="123" t="s">
        <v>240</v>
      </c>
      <c r="I127" s="236" t="s">
        <v>520</v>
      </c>
      <c r="J127" s="279">
        <v>3</v>
      </c>
      <c r="K127" s="311" t="str">
        <f t="shared" ref="K127" si="15">+IF(OR(ISBLANK(F127),ISBLANK(J127)),"",IF(OR(AND(F127=1,J127=1),AND(F127=1,J127=2),AND(F127=1,J127=3)),"Deficiencia de control mayor (diseño y ejecución)",IF(OR(AND(F127=2,J127=2),AND(F127=3,J127=1),AND(F127=3,J127=2),AND(F127=2,J127=1)),"Deficiencia de control (diseño o ejecución)",IF(AND(F127=2,J127=3),"Oportunidad de mejora","Mantenimiento del control"))))</f>
        <v>Mantenimiento del control</v>
      </c>
      <c r="L127" s="292">
        <f t="shared" ref="L127" si="16">+IF(K127="",312,IF(K127="Deficiencia de control mayor (diseño y ejecución)",320,IF(K127="Deficiencia de control (diseño o ejecución)",340,IF(K127="Oportunidad de mejora",360,380))))</f>
        <v>380</v>
      </c>
      <c r="M127" s="439">
        <v>7.0122999999999998</v>
      </c>
      <c r="N127" s="583">
        <f>+L127+M127</f>
        <v>387.01229999999998</v>
      </c>
    </row>
    <row r="128" spans="2:14" ht="22.5" customHeight="1">
      <c r="B128" s="296"/>
      <c r="C128" s="250"/>
      <c r="D128" s="253"/>
      <c r="E128" s="334"/>
      <c r="F128" s="259"/>
      <c r="G128" s="77">
        <v>2</v>
      </c>
      <c r="H128" s="77"/>
      <c r="I128" s="239"/>
      <c r="J128" s="280"/>
      <c r="K128" s="312"/>
      <c r="L128" s="292"/>
      <c r="M128" s="439"/>
      <c r="N128" s="583"/>
    </row>
    <row r="129" spans="2:14" ht="22.5" customHeight="1">
      <c r="B129" s="296"/>
      <c r="C129" s="250"/>
      <c r="D129" s="253"/>
      <c r="E129" s="334"/>
      <c r="F129" s="259"/>
      <c r="G129" s="77">
        <v>3</v>
      </c>
      <c r="H129" s="77"/>
      <c r="I129" s="239"/>
      <c r="J129" s="280"/>
      <c r="K129" s="312"/>
      <c r="L129" s="292"/>
      <c r="M129" s="439"/>
      <c r="N129" s="583"/>
    </row>
    <row r="130" spans="2:14" ht="22.5" customHeight="1">
      <c r="B130" s="296"/>
      <c r="C130" s="250"/>
      <c r="D130" s="253"/>
      <c r="E130" s="334"/>
      <c r="F130" s="259"/>
      <c r="G130" s="77">
        <v>4</v>
      </c>
      <c r="H130" s="77"/>
      <c r="I130" s="239"/>
      <c r="J130" s="280"/>
      <c r="K130" s="312"/>
      <c r="L130" s="292"/>
      <c r="M130" s="439"/>
      <c r="N130" s="583"/>
    </row>
    <row r="131" spans="2:14" ht="22.5" customHeight="1">
      <c r="B131" s="296"/>
      <c r="C131" s="250"/>
      <c r="D131" s="253"/>
      <c r="E131" s="334"/>
      <c r="F131" s="259"/>
      <c r="G131" s="77">
        <v>5</v>
      </c>
      <c r="H131" s="77"/>
      <c r="I131" s="239"/>
      <c r="J131" s="280"/>
      <c r="K131" s="312"/>
      <c r="L131" s="292"/>
      <c r="M131" s="439"/>
      <c r="N131" s="583"/>
    </row>
    <row r="132" spans="2:14" ht="22.5" customHeight="1">
      <c r="B132" s="296"/>
      <c r="C132" s="250"/>
      <c r="D132" s="253"/>
      <c r="E132" s="334"/>
      <c r="F132" s="259"/>
      <c r="G132" s="77">
        <v>6</v>
      </c>
      <c r="H132" s="77"/>
      <c r="I132" s="239"/>
      <c r="J132" s="280"/>
      <c r="K132" s="312"/>
      <c r="L132" s="292"/>
      <c r="M132" s="439"/>
      <c r="N132" s="583"/>
    </row>
    <row r="133" spans="2:14" ht="22.5" customHeight="1">
      <c r="B133" s="296"/>
      <c r="C133" s="250"/>
      <c r="D133" s="253"/>
      <c r="E133" s="334"/>
      <c r="F133" s="259"/>
      <c r="G133" s="77">
        <v>7</v>
      </c>
      <c r="H133" s="77"/>
      <c r="I133" s="239"/>
      <c r="J133" s="280"/>
      <c r="K133" s="312"/>
      <c r="L133" s="292"/>
      <c r="M133" s="439"/>
      <c r="N133" s="583"/>
    </row>
    <row r="134" spans="2:14" ht="22.5" customHeight="1" thickBot="1">
      <c r="B134" s="297"/>
      <c r="C134" s="251"/>
      <c r="D134" s="254"/>
      <c r="E134" s="335"/>
      <c r="F134" s="260"/>
      <c r="G134" s="81">
        <v>8</v>
      </c>
      <c r="H134" s="81"/>
      <c r="I134" s="240"/>
      <c r="J134" s="281"/>
      <c r="K134" s="313"/>
      <c r="L134" s="292"/>
      <c r="M134" s="439"/>
      <c r="N134" s="583"/>
    </row>
  </sheetData>
  <sheetProtection algorithmName="SHA-512" hashValue="/tR0gKwhLUIcI41yyV/9oHtI8OFb9GS6nBTWkL/cEQd+nJxyYqlDCIi7nBBZ1npnuwPsuGxD7EEQrWa0+uFnFg==" saltValue="rXYnqHjtiEc5Az5h9Unf3A==" spinCount="100000" sheet="1" objects="1" scenarios="1" formatCells="0" formatColumns="0" formatRows="0"/>
  <mergeCells count="184">
    <mergeCell ref="L111:L118"/>
    <mergeCell ref="L119:L126"/>
    <mergeCell ref="M111:M118"/>
    <mergeCell ref="M119:M126"/>
    <mergeCell ref="N111:N118"/>
    <mergeCell ref="N119:N126"/>
    <mergeCell ref="I127:I134"/>
    <mergeCell ref="I28:I35"/>
    <mergeCell ref="I36:I43"/>
    <mergeCell ref="I44:I51"/>
    <mergeCell ref="I52:I59"/>
    <mergeCell ref="I63:I70"/>
    <mergeCell ref="I71:I78"/>
    <mergeCell ref="I79:I86"/>
    <mergeCell ref="I87:I94"/>
    <mergeCell ref="I95:I102"/>
    <mergeCell ref="N79:N86"/>
    <mergeCell ref="N87:N94"/>
    <mergeCell ref="N95:N102"/>
    <mergeCell ref="N103:N110"/>
    <mergeCell ref="N127:N134"/>
    <mergeCell ref="L79:L86"/>
    <mergeCell ref="L87:L94"/>
    <mergeCell ref="L95:L102"/>
    <mergeCell ref="N17:N19"/>
    <mergeCell ref="N20:N27"/>
    <mergeCell ref="N28:N35"/>
    <mergeCell ref="N36:N43"/>
    <mergeCell ref="N44:N51"/>
    <mergeCell ref="N52:N59"/>
    <mergeCell ref="N60:N62"/>
    <mergeCell ref="N63:N70"/>
    <mergeCell ref="N71:N78"/>
    <mergeCell ref="L103:L110"/>
    <mergeCell ref="L127:L134"/>
    <mergeCell ref="M17:M19"/>
    <mergeCell ref="M20:M27"/>
    <mergeCell ref="M28:M35"/>
    <mergeCell ref="M36:M43"/>
    <mergeCell ref="M44:M51"/>
    <mergeCell ref="M52:M59"/>
    <mergeCell ref="M60:M62"/>
    <mergeCell ref="M63:M70"/>
    <mergeCell ref="M71:M78"/>
    <mergeCell ref="M79:M86"/>
    <mergeCell ref="M87:M94"/>
    <mergeCell ref="M95:M102"/>
    <mergeCell ref="M103:M110"/>
    <mergeCell ref="M127:M134"/>
    <mergeCell ref="L17:L19"/>
    <mergeCell ref="L20:L27"/>
    <mergeCell ref="L28:L35"/>
    <mergeCell ref="L36:L43"/>
    <mergeCell ref="L44:L51"/>
    <mergeCell ref="L52:L59"/>
    <mergeCell ref="L60:L62"/>
    <mergeCell ref="L63:L70"/>
    <mergeCell ref="L71:L78"/>
    <mergeCell ref="C36:C43"/>
    <mergeCell ref="E36:E43"/>
    <mergeCell ref="F36:F43"/>
    <mergeCell ref="C71:C78"/>
    <mergeCell ref="E71:E78"/>
    <mergeCell ref="F71:F78"/>
    <mergeCell ref="C63:C70"/>
    <mergeCell ref="E63:E70"/>
    <mergeCell ref="F63:F70"/>
    <mergeCell ref="C52:C59"/>
    <mergeCell ref="E52:E59"/>
    <mergeCell ref="D71:D78"/>
    <mergeCell ref="D52:D59"/>
    <mergeCell ref="D63:D70"/>
    <mergeCell ref="C60:C62"/>
    <mergeCell ref="J63:J70"/>
    <mergeCell ref="J52:J59"/>
    <mergeCell ref="J60:J62"/>
    <mergeCell ref="D36:D43"/>
    <mergeCell ref="J36:J43"/>
    <mergeCell ref="F60:F62"/>
    <mergeCell ref="E60:E62"/>
    <mergeCell ref="D44:D51"/>
    <mergeCell ref="J79:J86"/>
    <mergeCell ref="J87:J94"/>
    <mergeCell ref="C79:C86"/>
    <mergeCell ref="E79:E86"/>
    <mergeCell ref="F79:F86"/>
    <mergeCell ref="D79:D86"/>
    <mergeCell ref="D87:D94"/>
    <mergeCell ref="C87:C94"/>
    <mergeCell ref="E87:E94"/>
    <mergeCell ref="F87:F94"/>
    <mergeCell ref="D103:D110"/>
    <mergeCell ref="J95:J102"/>
    <mergeCell ref="J103:J110"/>
    <mergeCell ref="D95:D102"/>
    <mergeCell ref="C103:C110"/>
    <mergeCell ref="E103:E110"/>
    <mergeCell ref="F103:F110"/>
    <mergeCell ref="C95:C102"/>
    <mergeCell ref="E95:E102"/>
    <mergeCell ref="F95:F102"/>
    <mergeCell ref="I103:I110"/>
    <mergeCell ref="E44:E51"/>
    <mergeCell ref="F44:F51"/>
    <mergeCell ref="J44:J51"/>
    <mergeCell ref="I61:I62"/>
    <mergeCell ref="G60:I60"/>
    <mergeCell ref="G61:G62"/>
    <mergeCell ref="F52:F59"/>
    <mergeCell ref="D60:D62"/>
    <mergeCell ref="H61:H62"/>
    <mergeCell ref="C14:K14"/>
    <mergeCell ref="C15:K15"/>
    <mergeCell ref="K20:K27"/>
    <mergeCell ref="K28:K35"/>
    <mergeCell ref="D17:D19"/>
    <mergeCell ref="C20:C27"/>
    <mergeCell ref="E20:E27"/>
    <mergeCell ref="F20:F27"/>
    <mergeCell ref="G18:G19"/>
    <mergeCell ref="C17:C19"/>
    <mergeCell ref="F17:F19"/>
    <mergeCell ref="G17:I17"/>
    <mergeCell ref="I18:I19"/>
    <mergeCell ref="E17:E19"/>
    <mergeCell ref="J17:J19"/>
    <mergeCell ref="C28:C35"/>
    <mergeCell ref="D28:D35"/>
    <mergeCell ref="E28:E35"/>
    <mergeCell ref="F28:F35"/>
    <mergeCell ref="J28:J35"/>
    <mergeCell ref="D20:D27"/>
    <mergeCell ref="J20:J27"/>
    <mergeCell ref="H18:H19"/>
    <mergeCell ref="I20:I27"/>
    <mergeCell ref="B17:B19"/>
    <mergeCell ref="B20:B27"/>
    <mergeCell ref="B28:B35"/>
    <mergeCell ref="B36:B43"/>
    <mergeCell ref="B44:B51"/>
    <mergeCell ref="K127:K134"/>
    <mergeCell ref="K71:K78"/>
    <mergeCell ref="K79:K86"/>
    <mergeCell ref="K87:K94"/>
    <mergeCell ref="K95:K102"/>
    <mergeCell ref="K103:K110"/>
    <mergeCell ref="K36:K43"/>
    <mergeCell ref="K44:K51"/>
    <mergeCell ref="K52:K59"/>
    <mergeCell ref="K60:K62"/>
    <mergeCell ref="K63:K70"/>
    <mergeCell ref="K17:K19"/>
    <mergeCell ref="C127:C134"/>
    <mergeCell ref="D127:D134"/>
    <mergeCell ref="E127:E134"/>
    <mergeCell ref="F127:F134"/>
    <mergeCell ref="J127:J134"/>
    <mergeCell ref="J71:J78"/>
    <mergeCell ref="C44:C51"/>
    <mergeCell ref="B87:B94"/>
    <mergeCell ref="B95:B102"/>
    <mergeCell ref="B103:B110"/>
    <mergeCell ref="B127:B134"/>
    <mergeCell ref="B52:B59"/>
    <mergeCell ref="B60:B62"/>
    <mergeCell ref="B63:B70"/>
    <mergeCell ref="B71:B78"/>
    <mergeCell ref="B79:B86"/>
    <mergeCell ref="B111:B118"/>
    <mergeCell ref="B119:B126"/>
    <mergeCell ref="D119:D126"/>
    <mergeCell ref="E119:E126"/>
    <mergeCell ref="F119:F126"/>
    <mergeCell ref="I119:I126"/>
    <mergeCell ref="J119:J126"/>
    <mergeCell ref="K119:K126"/>
    <mergeCell ref="C119:C126"/>
    <mergeCell ref="C111:C118"/>
    <mergeCell ref="D111:D118"/>
    <mergeCell ref="E111:E118"/>
    <mergeCell ref="F111:F118"/>
    <mergeCell ref="J111:J118"/>
    <mergeCell ref="K111:K118"/>
    <mergeCell ref="I111:I118"/>
  </mergeCells>
  <dataValidations count="1">
    <dataValidation type="list" allowBlank="1" showInputMessage="1" showErrorMessage="1" sqref="J20:J59 F20:F59 F63:F134 J63:J134" xr:uid="{00000000-0002-0000-0700-000000000000}">
      <formula1>"1,2,3"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164"/>
  <sheetViews>
    <sheetView topLeftCell="C85" zoomScale="80" zoomScaleNormal="80" workbookViewId="0">
      <selection activeCell="H15" sqref="H15"/>
    </sheetView>
  </sheetViews>
  <sheetFormatPr defaultColWidth="11.42578125" defaultRowHeight="12.75"/>
  <cols>
    <col min="1" max="1" width="2.42578125" style="28" customWidth="1"/>
    <col min="2" max="2" width="25.28515625" style="28" customWidth="1"/>
    <col min="3" max="4" width="24.28515625" style="28" customWidth="1"/>
    <col min="5" max="5" width="34.7109375" style="28" customWidth="1"/>
    <col min="6" max="6" width="37.28515625" style="28" customWidth="1"/>
    <col min="7" max="7" width="22.7109375" style="28" customWidth="1"/>
    <col min="8" max="8" width="31.28515625" style="28" customWidth="1"/>
    <col min="9" max="9" width="44.5703125" style="28" customWidth="1"/>
    <col min="10" max="10" width="2" style="49" customWidth="1"/>
    <col min="11" max="11" width="26.42578125" style="28" customWidth="1"/>
    <col min="12" max="12" width="28.7109375" style="28" customWidth="1"/>
    <col min="13" max="13" width="28.42578125" style="28" customWidth="1"/>
    <col min="14" max="14" width="50" style="28" customWidth="1"/>
    <col min="15" max="15" width="32.42578125" style="28" customWidth="1"/>
    <col min="16" max="16" width="28.5703125" style="28" customWidth="1"/>
    <col min="17" max="17" width="23.28515625" style="28" customWidth="1"/>
    <col min="18" max="18" width="22.28515625" style="28" customWidth="1"/>
    <col min="19" max="19" width="18.28515625" style="28" customWidth="1"/>
    <col min="20" max="16384" width="11.42578125" style="28"/>
  </cols>
  <sheetData>
    <row r="1" spans="2:19" s="26" customFormat="1" ht="13.15" customHeight="1">
      <c r="B1" s="24"/>
      <c r="C1" s="25"/>
      <c r="J1" s="47"/>
    </row>
    <row r="2" spans="2:19" s="26" customFormat="1" ht="13.15" customHeight="1">
      <c r="B2" s="24"/>
      <c r="C2" s="25"/>
      <c r="J2" s="47"/>
    </row>
    <row r="3" spans="2:19" s="26" customFormat="1" ht="13.15" customHeight="1" thickBot="1">
      <c r="B3" s="65"/>
      <c r="C3" s="66"/>
      <c r="D3" s="67"/>
      <c r="E3" s="67"/>
      <c r="F3" s="67"/>
      <c r="G3" s="67"/>
      <c r="H3" s="67"/>
      <c r="I3" s="67"/>
      <c r="J3" s="68"/>
      <c r="K3" s="67"/>
      <c r="L3" s="67"/>
    </row>
    <row r="4" spans="2:19" s="26" customFormat="1" ht="27.75" customHeight="1" thickBot="1">
      <c r="B4" s="597" t="s">
        <v>550</v>
      </c>
      <c r="C4" s="598"/>
      <c r="D4" s="598"/>
      <c r="E4" s="598"/>
      <c r="F4" s="598"/>
      <c r="G4" s="598"/>
      <c r="H4" s="598"/>
      <c r="I4" s="598"/>
      <c r="J4" s="598"/>
      <c r="K4" s="598"/>
      <c r="L4" s="599"/>
    </row>
    <row r="5" spans="2:19" s="26" customFormat="1" ht="13.15" customHeight="1" thickBot="1">
      <c r="B5" s="25"/>
      <c r="C5" s="25"/>
      <c r="J5" s="47"/>
    </row>
    <row r="6" spans="2:19" s="26" customFormat="1" ht="36.6" customHeight="1" thickBot="1">
      <c r="B6" s="600" t="s">
        <v>22</v>
      </c>
      <c r="C6" s="601"/>
      <c r="D6" s="601" t="s">
        <v>5</v>
      </c>
      <c r="E6" s="601"/>
      <c r="F6" s="601" t="s">
        <v>23</v>
      </c>
      <c r="G6" s="605"/>
      <c r="H6" s="104"/>
      <c r="I6" s="104"/>
      <c r="J6" s="47"/>
    </row>
    <row r="7" spans="2:19" s="26" customFormat="1" ht="75.75" customHeight="1">
      <c r="B7" s="602" t="s">
        <v>24</v>
      </c>
      <c r="C7" s="603"/>
      <c r="D7" s="604" t="s">
        <v>25</v>
      </c>
      <c r="E7" s="604"/>
      <c r="F7" s="604" t="s">
        <v>26</v>
      </c>
      <c r="G7" s="606"/>
      <c r="H7" s="105"/>
      <c r="I7" s="106">
        <v>1</v>
      </c>
      <c r="J7" s="47"/>
    </row>
    <row r="8" spans="2:19" s="26" customFormat="1" ht="57" customHeight="1">
      <c r="B8" s="594" t="s">
        <v>27</v>
      </c>
      <c r="C8" s="595"/>
      <c r="D8" s="596" t="s">
        <v>28</v>
      </c>
      <c r="E8" s="596"/>
      <c r="F8" s="596" t="s">
        <v>551</v>
      </c>
      <c r="G8" s="607"/>
      <c r="H8" s="107" t="s">
        <v>552</v>
      </c>
      <c r="I8" s="106">
        <v>0.75</v>
      </c>
      <c r="J8" s="47"/>
    </row>
    <row r="9" spans="2:19" s="26" customFormat="1" ht="71.25" customHeight="1">
      <c r="B9" s="613" t="s">
        <v>30</v>
      </c>
      <c r="C9" s="614"/>
      <c r="D9" s="596" t="s">
        <v>553</v>
      </c>
      <c r="E9" s="596"/>
      <c r="F9" s="596" t="s">
        <v>32</v>
      </c>
      <c r="G9" s="607"/>
      <c r="H9" s="108"/>
      <c r="I9" s="106">
        <v>0.5</v>
      </c>
      <c r="J9" s="47"/>
    </row>
    <row r="10" spans="2:19" s="26" customFormat="1" ht="97.5" customHeight="1" thickBot="1">
      <c r="B10" s="608" t="s">
        <v>33</v>
      </c>
      <c r="C10" s="609"/>
      <c r="D10" s="610" t="s">
        <v>554</v>
      </c>
      <c r="E10" s="610"/>
      <c r="F10" s="610" t="s">
        <v>35</v>
      </c>
      <c r="G10" s="617"/>
      <c r="H10" s="108"/>
      <c r="I10" s="106">
        <v>0.25</v>
      </c>
      <c r="J10" s="47"/>
    </row>
    <row r="11" spans="2:19" s="26" customFormat="1" ht="26.25" customHeight="1">
      <c r="B11" s="618" t="s">
        <v>555</v>
      </c>
      <c r="C11" s="618"/>
      <c r="D11" s="618"/>
      <c r="E11" s="618"/>
      <c r="F11" s="618"/>
      <c r="G11" s="618"/>
      <c r="H11" s="618"/>
      <c r="I11" s="618"/>
      <c r="J11" s="48"/>
      <c r="K11" s="27"/>
      <c r="L11" s="27"/>
      <c r="M11" s="27"/>
      <c r="N11" s="27"/>
    </row>
    <row r="12" spans="2:19" s="26" customFormat="1" ht="38.25" customHeight="1" thickBot="1">
      <c r="B12" s="25"/>
      <c r="C12" s="25"/>
      <c r="J12" s="47"/>
    </row>
    <row r="13" spans="2:19" s="26" customFormat="1" ht="42.75" customHeight="1">
      <c r="B13" s="619" t="s">
        <v>556</v>
      </c>
      <c r="C13" s="621" t="s">
        <v>557</v>
      </c>
      <c r="D13" s="622"/>
      <c r="E13" s="622"/>
      <c r="F13" s="623"/>
      <c r="G13" s="624" t="s">
        <v>558</v>
      </c>
      <c r="H13" s="615" t="s">
        <v>559</v>
      </c>
      <c r="I13" s="625" t="s">
        <v>560</v>
      </c>
      <c r="J13" s="47"/>
      <c r="K13" s="611" t="s">
        <v>561</v>
      </c>
      <c r="L13" s="611" t="s">
        <v>562</v>
      </c>
      <c r="M13" s="588" t="s">
        <v>563</v>
      </c>
      <c r="N13" s="585" t="s">
        <v>564</v>
      </c>
      <c r="O13" s="586"/>
      <c r="P13" s="586"/>
      <c r="Q13" s="586"/>
      <c r="R13" s="586"/>
      <c r="S13" s="587"/>
    </row>
    <row r="14" spans="2:19" s="26" customFormat="1" ht="48.75" customHeight="1" thickBot="1">
      <c r="B14" s="620"/>
      <c r="C14" s="100" t="s">
        <v>565</v>
      </c>
      <c r="D14" s="100" t="s">
        <v>50</v>
      </c>
      <c r="E14" s="100" t="s">
        <v>566</v>
      </c>
      <c r="F14" s="101" t="s">
        <v>567</v>
      </c>
      <c r="G14" s="616"/>
      <c r="H14" s="616"/>
      <c r="I14" s="626"/>
      <c r="J14" s="47"/>
      <c r="K14" s="612"/>
      <c r="L14" s="612"/>
      <c r="M14" s="589"/>
      <c r="N14" s="102" t="s">
        <v>568</v>
      </c>
      <c r="O14" s="102" t="s">
        <v>569</v>
      </c>
      <c r="P14" s="102" t="s">
        <v>570</v>
      </c>
      <c r="Q14" s="102" t="s">
        <v>571</v>
      </c>
      <c r="R14" s="102" t="s">
        <v>572</v>
      </c>
      <c r="S14" s="103" t="s">
        <v>573</v>
      </c>
    </row>
    <row r="15" spans="2:19" s="26" customFormat="1" ht="99.75" customHeight="1">
      <c r="B15" s="86">
        <f>+IF(ISTEXT(D15),J15,"")</f>
        <v>1</v>
      </c>
      <c r="C15" s="87" t="str">
        <f>+IFERROR(INDEX(Hoja1!$A$2:$A$82,MATCH(J15,Hoja1!$H$2:$H$82,0)),"")</f>
        <v>1.1</v>
      </c>
      <c r="D15" s="88" t="str">
        <f>IFERROR(VLOOKUP(C15,Hoja1!$A$2:$H$82,4,0),"")</f>
        <v>Ambiente de Control</v>
      </c>
      <c r="E15" s="88" t="str">
        <f>+IFERROR(VLOOKUP(C15,Hoja1!$A$1:$J$82,10,0),"")</f>
        <v>La entidad demuestra el compromiso con la integridad (valores) y principios del servicio público</v>
      </c>
      <c r="F15" s="88" t="str">
        <f>+IFERROR(VLOOKUP(C15,Hoja1!$A$1:$I$82,3,0),"")</f>
        <v xml:space="preserve"> Aplicación del Código de Integridad. (incluye análisis de desviaciones, convivencia laboral, temas disciplinarios internos, quejas o denuncias sobres los servidores de la entidad, u otros temas relacionados)</v>
      </c>
      <c r="G15" s="89">
        <f>+IFERROR(VLOOKUP(C15,Hoja1!$A$1:$K$82,11,0),"")</f>
        <v>3</v>
      </c>
      <c r="H15" s="90">
        <f>+IFERROR(VLOOKUP(C15,Hoja1!$A$1:$L$82,12,0),"")</f>
        <v>2</v>
      </c>
      <c r="I15" s="85" t="str">
        <f>+IF(OR(AND(G15=1,H15=1),AND(G15=1,H15=2),AND(G15=1,H15=3),G15="",H15=""),"No se encuentra presente  por lo tanto no esta funcionando, lo que hace que se requieran acciones dirigidas a fortalecer su diseño y puesta en marcha",IF(OR(AND(G15=2,H15=2),AND(G15=3,H15=1),AND(G15=3,H15=2),AND(G15=2,H15=1)),"Se encuentra presente y funcionando, pero requiere acciones dirigidas a fortalecer  o mejorar su diseño y/o ejecucion.",IF(AND(G15=2,H15=3),"Se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5" s="47">
        <v>1</v>
      </c>
      <c r="K15" s="83">
        <f>+VLOOKUP(C15,Hoja1!$A$1:$M$82,13,0)</f>
        <v>0.5</v>
      </c>
      <c r="L15" s="590">
        <f>+AVERAGE(K15:K38)</f>
        <v>0.83333333333333337</v>
      </c>
      <c r="M15" s="69"/>
      <c r="N15" s="70"/>
      <c r="O15" s="70"/>
      <c r="P15" s="70"/>
      <c r="Q15" s="70"/>
      <c r="R15" s="70"/>
      <c r="S15" s="70"/>
    </row>
    <row r="16" spans="2:19" s="26" customFormat="1" ht="99.75" customHeight="1">
      <c r="B16" s="91">
        <f t="shared" ref="B16:B79" si="0">+IF(ISTEXT(D16),J16,"")</f>
        <v>2</v>
      </c>
      <c r="C16" s="92" t="str">
        <f>+IFERROR(INDEX(Hoja1!$A$2:$A$82,MATCH(J16,Hoja1!$H$2:$H$82,0)),"")</f>
        <v>2.2</v>
      </c>
      <c r="D16" s="93" t="str">
        <f>IFERROR(VLOOKUP(C16,Hoja1!$A$2:$H$82,4,0),"")</f>
        <v>Ambiente de Control</v>
      </c>
      <c r="E16" s="93" t="str">
        <f>+IFERROR(VLOOKUP(C16,Hoja1!$A$1:$J$82,10,0),"")</f>
        <v xml:space="preserve">Aplicación de mecanismos para ejercer una adecuada supervisión del Sistema de Control Interno </v>
      </c>
      <c r="F16" s="93" t="str">
        <f>+IFERROR(VLOOKUP(C16,Hoja1!$A$1:$I$82,3,0),"")</f>
        <v xml:space="preserve"> Definición y documentación del Esquema de Líneas de Defens</v>
      </c>
      <c r="G16" s="92">
        <f>+IFERROR(VLOOKUP(C16,Hoja1!$A$1:$K$82,11,0),"")</f>
        <v>3</v>
      </c>
      <c r="H16" s="94">
        <f>+IFERROR(VLOOKUP(C16,Hoja1!$A$1:$L$82,12,0),"")</f>
        <v>2</v>
      </c>
      <c r="I16" s="85" t="str">
        <f t="shared" ref="I16:I79" si="1">+IF(OR(AND(G16=1,H16=1),AND(G16=1,H16=2),AND(G16=1,H16=3),G16="",H16=""),"No se encuentra presente  por lo tanto no esta funcionando, lo que hace que se requieran acciones dirigidas a fortalecer su diseño y puesta en marcha",IF(OR(AND(G16=2,H16=2),AND(G16=3,H16=1),AND(G16=3,H16=2),AND(G16=2,H16=1)),"Se encuentra presente y funcionando, pero requiere acciones dirigidas a fortalecer  o mejorar su diseño y/o ejecucion.",IF(AND(G16=2,H16=3),"Se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6" s="47">
        <v>2</v>
      </c>
      <c r="K16" s="83">
        <f>+VLOOKUP(C16,Hoja1!$A$1:$M$82,13,0)</f>
        <v>0.5</v>
      </c>
      <c r="L16" s="591"/>
      <c r="M16" s="44"/>
      <c r="N16" s="32"/>
      <c r="O16" s="32"/>
      <c r="P16" s="32"/>
      <c r="Q16" s="32"/>
      <c r="R16" s="32"/>
      <c r="S16" s="32"/>
    </row>
    <row r="17" spans="2:19" s="26" customFormat="1" ht="99.75" customHeight="1">
      <c r="B17" s="91">
        <f t="shared" si="0"/>
        <v>3</v>
      </c>
      <c r="C17" s="92" t="str">
        <f>+IFERROR(INDEX(Hoja1!$A$2:$A$82,MATCH(J17,Hoja1!$H$2:$H$82,0)),"")</f>
        <v>3.1</v>
      </c>
      <c r="D17" s="93" t="str">
        <f>IFERROR(VLOOKUP(C17,Hoja1!$A$2:$H$82,4,0),"")</f>
        <v>Ambiente de Control</v>
      </c>
      <c r="E17" s="93" t="str">
        <f>+IFERROR(VLOOKUP(C17,Hoja1!$A$1:$J$82,10,0),"")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17" s="93" t="str">
        <f>+IFERROR(VLOOKUP(C17,Hoja1!$A$1:$I$82,3,0),"")</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v>
      </c>
      <c r="G17" s="92">
        <f>+IFERROR(VLOOKUP(C17,Hoja1!$A$1:$K$82,11,0),"")</f>
        <v>3</v>
      </c>
      <c r="H17" s="94">
        <f>+IFERROR(VLOOKUP(C17,Hoja1!$A$1:$L$82,12,0),"")</f>
        <v>2</v>
      </c>
      <c r="I17" s="85" t="str">
        <f t="shared" si="1"/>
        <v>Se encuentra presente y funcionando, pero requiere acciones dirigidas a fortalecer  o mejorar su diseño y/o ejecucion.</v>
      </c>
      <c r="J17" s="47">
        <v>3</v>
      </c>
      <c r="K17" s="83">
        <f>+VLOOKUP(C17,Hoja1!$A$1:$M$82,13,0)</f>
        <v>0.5</v>
      </c>
      <c r="L17" s="591"/>
      <c r="M17" s="44"/>
      <c r="N17" s="32"/>
      <c r="O17" s="32"/>
      <c r="P17" s="32"/>
      <c r="Q17" s="32"/>
      <c r="R17" s="32"/>
      <c r="S17" s="32"/>
    </row>
    <row r="18" spans="2:19" s="26" customFormat="1" ht="99.75" customHeight="1">
      <c r="B18" s="95">
        <f t="shared" si="0"/>
        <v>4</v>
      </c>
      <c r="C18" s="92" t="str">
        <f>+IFERROR(INDEX(Hoja1!$A$2:$A$82,MATCH(J18,Hoja1!$H$2:$H$82,0)),"")</f>
        <v>3.2</v>
      </c>
      <c r="D18" s="93" t="str">
        <f>IFERROR(VLOOKUP(C18,Hoja1!$A$2:$H$82,4,0),"")</f>
        <v>Ambiente de Control</v>
      </c>
      <c r="E18" s="93" t="str">
        <f>+IFERROR(VLOOKUP(C18,Hoja1!$A$1:$J$82,10,0),"")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18" s="93" t="str">
        <f>+IFERROR(VLOOKUP(C18,Hoja1!$A$1:$I$82,3,0),"")</f>
        <v xml:space="preserve"> La Alta Dirección frente a la política de Administración del Riesgo definen los niveles de aceptación del riesgo, teniendo en cuenta cada uno de los objetivos establecidos.</v>
      </c>
      <c r="G18" s="92">
        <f>+IFERROR(VLOOKUP(C18,Hoja1!$A$1:$K$82,11,0),"")</f>
        <v>3</v>
      </c>
      <c r="H18" s="94">
        <f>+IFERROR(VLOOKUP(C18,Hoja1!$A$1:$L$82,12,0),"")</f>
        <v>2</v>
      </c>
      <c r="I18" s="85" t="str">
        <f t="shared" si="1"/>
        <v>Se encuentra presente y funcionando, pero requiere acciones dirigidas a fortalecer  o mejorar su diseño y/o ejecucion.</v>
      </c>
      <c r="J18" s="47">
        <v>4</v>
      </c>
      <c r="K18" s="83">
        <f>+VLOOKUP(C18,Hoja1!$A$1:$M$82,13,0)</f>
        <v>0.5</v>
      </c>
      <c r="L18" s="591"/>
      <c r="M18" s="44"/>
      <c r="N18" s="32"/>
      <c r="O18" s="32"/>
      <c r="P18" s="32"/>
      <c r="Q18" s="32"/>
      <c r="R18" s="32"/>
      <c r="S18" s="32"/>
    </row>
    <row r="19" spans="2:19" s="26" customFormat="1" ht="99.75" customHeight="1">
      <c r="B19" s="91">
        <f t="shared" si="0"/>
        <v>5</v>
      </c>
      <c r="C19" s="92" t="str">
        <f>+IFERROR(INDEX(Hoja1!$A$2:$A$82,MATCH(J19,Hoja1!$H$2:$H$82,0)),"")</f>
        <v>4.2</v>
      </c>
      <c r="D19" s="93" t="str">
        <f>IFERROR(VLOOKUP(C19,Hoja1!$A$2:$H$82,4,0),"")</f>
        <v>Ambiente de Control</v>
      </c>
      <c r="E19" s="93" t="str">
        <f>+IFERROR(VLOOKUP(C19,Hoja1!$A$1:$J$82,10,0),"")</f>
        <v>Compromiso con la competencia de todo el personal, por lo que la gestión del talento humano tiene un carácter estratégico con el despliegue de actividades clave para todo el ciclo de vida del servidor público –ingreso, permanencia y retiro.</v>
      </c>
      <c r="F19" s="93" t="str">
        <f>+IFERROR(VLOOKUP(C19,Hoja1!$A$1:$I$82,3,0),"")</f>
        <v xml:space="preserve"> Evaluación de las actividades relacionadas con el Ingreso del personal</v>
      </c>
      <c r="G19" s="92">
        <f>+IFERROR(VLOOKUP(C19,Hoja1!$A$1:$K$82,11,0),"")</f>
        <v>3</v>
      </c>
      <c r="H19" s="94">
        <f>+IFERROR(VLOOKUP(C19,Hoja1!$A$1:$L$82,12,0),"")</f>
        <v>2</v>
      </c>
      <c r="I19" s="85" t="str">
        <f t="shared" si="1"/>
        <v>Se encuentra presente y funcionando, pero requiere acciones dirigidas a fortalecer  o mejorar su diseño y/o ejecucion.</v>
      </c>
      <c r="J19" s="47">
        <v>5</v>
      </c>
      <c r="K19" s="83">
        <f>+VLOOKUP(C19,Hoja1!$A$1:$M$82,13,0)</f>
        <v>0.5</v>
      </c>
      <c r="L19" s="591"/>
      <c r="M19" s="44"/>
      <c r="N19" s="32"/>
      <c r="O19" s="32"/>
      <c r="P19" s="32"/>
      <c r="Q19" s="32"/>
      <c r="R19" s="32"/>
      <c r="S19" s="32"/>
    </row>
    <row r="20" spans="2:19" s="26" customFormat="1" ht="99.75" customHeight="1">
      <c r="B20" s="95">
        <f t="shared" si="0"/>
        <v>6</v>
      </c>
      <c r="C20" s="92" t="str">
        <f>+IFERROR(INDEX(Hoja1!$A$2:$A$82,MATCH(J20,Hoja1!$H$2:$H$82,0)),"")</f>
        <v>4.3</v>
      </c>
      <c r="D20" s="93" t="str">
        <f>IFERROR(VLOOKUP(C20,Hoja1!$A$2:$H$82,4,0),"")</f>
        <v>Ambiente de Control</v>
      </c>
      <c r="E20" s="93" t="str">
        <f>+IFERROR(VLOOKUP(C20,Hoja1!$A$1:$J$82,10,0),"")</f>
        <v>Compromiso con la competencia de todo el personal, por lo que la gestión del talento humano tiene un carácter estratégico con el despliegue de actividades clave para todo el ciclo de vida del servidor público –ingreso, permanencia y retiro.</v>
      </c>
      <c r="F20" s="93" t="str">
        <f>+IFERROR(VLOOKUP(C20,Hoja1!$A$1:$I$82,3,0),"")</f>
        <v xml:space="preserve"> Evaluación de las actividades relacionadas con la permanencia del personal</v>
      </c>
      <c r="G20" s="92">
        <f>+IFERROR(VLOOKUP(C20,Hoja1!$A$1:$K$82,11,0),"")</f>
        <v>3</v>
      </c>
      <c r="H20" s="94">
        <f>+IFERROR(VLOOKUP(C20,Hoja1!$A$1:$L$82,12,0),"")</f>
        <v>2</v>
      </c>
      <c r="I20" s="85" t="str">
        <f t="shared" si="1"/>
        <v>Se encuentra presente y funcionando, pero requiere acciones dirigidas a fortalecer  o mejorar su diseño y/o ejecucion.</v>
      </c>
      <c r="J20" s="47">
        <v>6</v>
      </c>
      <c r="K20" s="83">
        <f>+VLOOKUP(C20,Hoja1!$A$1:$M$82,13,0)</f>
        <v>0.5</v>
      </c>
      <c r="L20" s="591"/>
      <c r="M20" s="44"/>
      <c r="N20" s="32"/>
      <c r="O20" s="32"/>
      <c r="P20" s="32"/>
      <c r="Q20" s="32"/>
      <c r="R20" s="32"/>
      <c r="S20" s="32"/>
    </row>
    <row r="21" spans="2:19" s="26" customFormat="1" ht="99.75" customHeight="1">
      <c r="B21" s="91">
        <f t="shared" si="0"/>
        <v>7</v>
      </c>
      <c r="C21" s="92" t="str">
        <f>+IFERROR(INDEX(Hoja1!$A$2:$A$82,MATCH(J21,Hoja1!$H$2:$H$82,0)),"")</f>
        <v>4.5</v>
      </c>
      <c r="D21" s="93" t="str">
        <f>IFERROR(VLOOKUP(C21,Hoja1!$A$2:$H$82,4,0),"")</f>
        <v>Ambiente de Control</v>
      </c>
      <c r="E21" s="93" t="str">
        <f>+IFERROR(VLOOKUP(C21,Hoja1!$A$1:$J$82,10,0),"")</f>
        <v>Compromiso con la competencia de todo el personal, por lo que la gestión del talento humano tiene un carácter estratégico con el despliegue de actividades clave para todo el ciclo de vida del servidor público –ingreso, permanencia y retiro.</v>
      </c>
      <c r="F21" s="93" t="str">
        <f>+IFERROR(VLOOKUP(C21,Hoja1!$A$1:$I$82,3,0),"")</f>
        <v xml:space="preserve"> Evaluación de las actividades relacionadas con el retiro del personal</v>
      </c>
      <c r="G21" s="92">
        <f>+IFERROR(VLOOKUP(C21,Hoja1!$A$1:$K$82,11,0),"")</f>
        <v>3</v>
      </c>
      <c r="H21" s="94">
        <f>+IFERROR(VLOOKUP(C21,Hoja1!$A$1:$L$82,12,0),"")</f>
        <v>2</v>
      </c>
      <c r="I21" s="85" t="str">
        <f t="shared" si="1"/>
        <v>Se encuentra presente y funcionando, pero requiere acciones dirigidas a fortalecer  o mejorar su diseño y/o ejecucion.</v>
      </c>
      <c r="J21" s="47">
        <v>7</v>
      </c>
      <c r="K21" s="83">
        <f>+VLOOKUP(C21,Hoja1!$A$1:$M$82,13,0)</f>
        <v>0.5</v>
      </c>
      <c r="L21" s="591"/>
      <c r="M21" s="44"/>
      <c r="N21" s="32"/>
      <c r="O21" s="32"/>
      <c r="P21" s="32"/>
      <c r="Q21" s="32"/>
      <c r="R21" s="32"/>
      <c r="S21" s="32"/>
    </row>
    <row r="22" spans="2:19" s="26" customFormat="1" ht="99.75" customHeight="1">
      <c r="B22" s="91">
        <f t="shared" si="0"/>
        <v>8</v>
      </c>
      <c r="C22" s="92" t="str">
        <f>+IFERROR(INDEX(Hoja1!$A$2:$A$82,MATCH(J22,Hoja1!$H$2:$H$82,0)),"")</f>
        <v>5.1</v>
      </c>
      <c r="D22" s="93" t="str">
        <f>IFERROR(VLOOKUP(C22,Hoja1!$A$2:$H$82,4,0),"")</f>
        <v>Ambiente de Control</v>
      </c>
      <c r="E22" s="93" t="str">
        <f>+IFERROR(VLOOKUP(C22,Hoja1!$A$1:$J$82,10,0),"")</f>
        <v>La entidad establece líneas de reporte dentro de la entidad para evaluar el funcionamiento del Sistema de Control Interno.</v>
      </c>
      <c r="F22" s="93" t="str">
        <f>+IFERROR(VLOOKUP(C22,Hoja1!$A$1:$I$82,3,0),"")</f>
        <v xml:space="preserve"> Acorde con la estructura del Esquema de Líneas de Defensa se han definido estándares de reporte, periodicidad y responsables frente a diferentes temas críticos de la entidad</v>
      </c>
      <c r="G22" s="92">
        <f>+IFERROR(VLOOKUP(C22,Hoja1!$A$1:$K$82,11,0),"")</f>
        <v>3</v>
      </c>
      <c r="H22" s="94">
        <f>+IFERROR(VLOOKUP(C22,Hoja1!$A$1:$L$82,12,0),"")</f>
        <v>2</v>
      </c>
      <c r="I22" s="85" t="str">
        <f t="shared" si="1"/>
        <v>Se encuentra presente y funcionando, pero requiere acciones dirigidas a fortalecer  o mejorar su diseño y/o ejecucion.</v>
      </c>
      <c r="J22" s="47">
        <v>8</v>
      </c>
      <c r="K22" s="83">
        <f>+VLOOKUP(C22,Hoja1!$A$1:$M$82,13,0)</f>
        <v>0.5</v>
      </c>
      <c r="L22" s="591"/>
      <c r="M22" s="44"/>
      <c r="N22" s="32"/>
      <c r="O22" s="32"/>
      <c r="P22" s="32"/>
      <c r="Q22" s="32"/>
      <c r="R22" s="32"/>
      <c r="S22" s="32"/>
    </row>
    <row r="23" spans="2:19" s="26" customFormat="1" ht="99.75" customHeight="1">
      <c r="B23" s="91">
        <f t="shared" si="0"/>
        <v>9</v>
      </c>
      <c r="C23" s="92" t="str">
        <f>+IFERROR(INDEX(Hoja1!$A$2:$A$82,MATCH(J23,Hoja1!$H$2:$H$82,0)),"")</f>
        <v>1.2</v>
      </c>
      <c r="D23" s="93" t="str">
        <f>IFERROR(VLOOKUP(C23,Hoja1!$A$2:$H$82,4,0),"")</f>
        <v>Ambiente de Control</v>
      </c>
      <c r="E23" s="93" t="str">
        <f>+IFERROR(VLOOKUP(C23,Hoja1!$A$1:$J$82,10,0),"")</f>
        <v>La entidad demuestra el compromiso con la integridad (valores) y principios del servicio público</v>
      </c>
      <c r="F23" s="93" t="str">
        <f>+IFERROR(VLOOKUP(C23,Hoja1!$A$1:$I$82,3,0),"")</f>
        <v xml:space="preserve"> Mecanismos para el manejo de conflictos de interés.</v>
      </c>
      <c r="G23" s="92">
        <f>+IFERROR(VLOOKUP(C23,Hoja1!$A$1:$K$82,11,0),"")</f>
        <v>3</v>
      </c>
      <c r="H23" s="94">
        <f>+IFERROR(VLOOKUP(C23,Hoja1!$A$1:$L$82,12,0),"")</f>
        <v>3</v>
      </c>
      <c r="I23" s="85" t="str">
        <f t="shared" si="1"/>
        <v>Se encuentra presente y funciona correctamente, por lo tanto se requiere acciones o actividades  dirigidas a su mantenimiento dentro del marco de las lineas de defensa.</v>
      </c>
      <c r="J23" s="47">
        <v>9</v>
      </c>
      <c r="K23" s="83">
        <f>+VLOOKUP(C23,Hoja1!$A$1:$M$82,13,0)</f>
        <v>1</v>
      </c>
      <c r="L23" s="591"/>
      <c r="M23" s="44"/>
      <c r="N23" s="32"/>
      <c r="O23" s="32"/>
      <c r="P23" s="32"/>
      <c r="Q23" s="32"/>
      <c r="R23" s="32"/>
      <c r="S23" s="32"/>
    </row>
    <row r="24" spans="2:19" s="26" customFormat="1" ht="99.75" customHeight="1">
      <c r="B24" s="95">
        <f t="shared" si="0"/>
        <v>10</v>
      </c>
      <c r="C24" s="92" t="str">
        <f>+IFERROR(INDEX(Hoja1!$A$2:$A$82,MATCH(J24,Hoja1!$H$2:$H$82,0)),"")</f>
        <v>1.3</v>
      </c>
      <c r="D24" s="93" t="str">
        <f>IFERROR(VLOOKUP(C24,Hoja1!$A$2:$H$82,4,0),"")</f>
        <v>Ambiente de Control</v>
      </c>
      <c r="E24" s="93" t="str">
        <f>+IFERROR(VLOOKUP(C24,Hoja1!$A$1:$J$82,10,0),"")</f>
        <v>La entidad demuestra el compromiso con la integridad (valores) y principios del servicio público</v>
      </c>
      <c r="F24" s="93" t="str">
        <f>+IFERROR(VLOOKUP(C24,Hoja1!$A$1:$I$82,3,0),"")</f>
        <v xml:space="preserve"> Mecanismos frente a la detección y prevención del uso inadecuado de información privilegiada u otras situaciones que puedan implicar riesgos para la entidad</v>
      </c>
      <c r="G24" s="92">
        <f>+IFERROR(VLOOKUP(C24,Hoja1!$A$1:$K$82,11,0),"")</f>
        <v>3</v>
      </c>
      <c r="H24" s="94">
        <f>+IFERROR(VLOOKUP(C24,Hoja1!$A$1:$L$82,12,0),"")</f>
        <v>3</v>
      </c>
      <c r="I24" s="85" t="str">
        <f t="shared" si="1"/>
        <v>Se encuentra presente y funciona correctamente, por lo tanto se requiere acciones o actividades  dirigidas a su mantenimiento dentro del marco de las lineas de defensa.</v>
      </c>
      <c r="J24" s="47">
        <v>10</v>
      </c>
      <c r="K24" s="83">
        <f>+VLOOKUP(C24,Hoja1!$A$1:$M$82,13,0)</f>
        <v>1</v>
      </c>
      <c r="L24" s="591"/>
      <c r="M24" s="44"/>
      <c r="N24" s="32"/>
      <c r="O24" s="32"/>
      <c r="P24" s="32"/>
      <c r="Q24" s="32"/>
      <c r="R24" s="32"/>
      <c r="S24" s="32"/>
    </row>
    <row r="25" spans="2:19" s="26" customFormat="1" ht="99.75" customHeight="1">
      <c r="B25" s="91">
        <f t="shared" si="0"/>
        <v>11</v>
      </c>
      <c r="C25" s="92" t="str">
        <f>+IFERROR(INDEX(Hoja1!$A$2:$A$82,MATCH(J25,Hoja1!$H$2:$H$82,0)),"")</f>
        <v>1.4</v>
      </c>
      <c r="D25" s="93" t="str">
        <f>IFERROR(VLOOKUP(C25,Hoja1!$A$2:$H$82,4,0),"")</f>
        <v>Ambiente de Control</v>
      </c>
      <c r="E25" s="93" t="str">
        <f>+IFERROR(VLOOKUP(C25,Hoja1!$A$1:$J$82,10,0),"")</f>
        <v>La entidad demuestra el compromiso con la integridad (valores) y principios del servicio público</v>
      </c>
      <c r="F25" s="93" t="str">
        <f>+IFERROR(VLOOKUP(C25,Hoja1!$A$1:$I$82,3,0),"")</f>
        <v xml:space="preserve"> La evaluación de las acciones transversales de integridad, mediante el monitoreo permanente de los riesgos de corrupción.</v>
      </c>
      <c r="G25" s="92">
        <f>+IFERROR(VLOOKUP(C25,Hoja1!$A$1:$K$82,11,0),"")</f>
        <v>3</v>
      </c>
      <c r="H25" s="94">
        <f>+IFERROR(VLOOKUP(C25,Hoja1!$A$1:$L$82,12,0),"")</f>
        <v>3</v>
      </c>
      <c r="I25" s="85" t="str">
        <f t="shared" si="1"/>
        <v>Se encuentra presente y funciona correctamente, por lo tanto se requiere acciones o actividades  dirigidas a su mantenimiento dentro del marco de las lineas de defensa.</v>
      </c>
      <c r="J25" s="47">
        <v>11</v>
      </c>
      <c r="K25" s="83">
        <f>+VLOOKUP(C25,Hoja1!$A$1:$M$82,13,0)</f>
        <v>1</v>
      </c>
      <c r="L25" s="591"/>
      <c r="M25" s="44"/>
      <c r="N25" s="32"/>
      <c r="O25" s="32"/>
      <c r="P25" s="32"/>
      <c r="Q25" s="32"/>
      <c r="R25" s="32"/>
      <c r="S25" s="32"/>
    </row>
    <row r="26" spans="2:19" s="26" customFormat="1" ht="99.75" customHeight="1">
      <c r="B26" s="95">
        <f t="shared" si="0"/>
        <v>12</v>
      </c>
      <c r="C26" s="92" t="str">
        <f>+IFERROR(INDEX(Hoja1!$A$2:$A$82,MATCH(J26,Hoja1!$H$2:$H$82,0)),"")</f>
        <v>1.5</v>
      </c>
      <c r="D26" s="93" t="str">
        <f>IFERROR(VLOOKUP(C26,Hoja1!$A$2:$H$82,4,0),"")</f>
        <v>Ambiente de Control</v>
      </c>
      <c r="E26" s="93" t="str">
        <f>+IFERROR(VLOOKUP(C26,Hoja1!$A$1:$J$82,10,0),"")</f>
        <v>La entidad demuestra el compromiso con la integridad (valores) y principios del servicio público</v>
      </c>
      <c r="F26" s="93" t="str">
        <f>+IFERROR(VLOOKUP(C26,Hoja1!$A$1:$I$82,3,0),"")</f>
        <v xml:space="preserve">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v>
      </c>
      <c r="G26" s="92">
        <f>+IFERROR(VLOOKUP(C26,Hoja1!$A$1:$K$82,11,0),"")</f>
        <v>3</v>
      </c>
      <c r="H26" s="94">
        <f>+IFERROR(VLOOKUP(C26,Hoja1!$A$1:$L$82,12,0),"")</f>
        <v>3</v>
      </c>
      <c r="I26" s="85" t="str">
        <f t="shared" si="1"/>
        <v>Se encuentra presente y funciona correctamente, por lo tanto se requiere acciones o actividades  dirigidas a su mantenimiento dentro del marco de las lineas de defensa.</v>
      </c>
      <c r="J26" s="47">
        <v>12</v>
      </c>
      <c r="K26" s="83">
        <f>+VLOOKUP(C26,Hoja1!$A$1:$M$82,13,0)</f>
        <v>1</v>
      </c>
      <c r="L26" s="591"/>
      <c r="M26" s="44"/>
      <c r="N26" s="32"/>
      <c r="O26" s="32"/>
      <c r="P26" s="32"/>
      <c r="Q26" s="32"/>
      <c r="R26" s="32"/>
      <c r="S26" s="32"/>
    </row>
    <row r="27" spans="2:19" s="26" customFormat="1" ht="99.75" customHeight="1">
      <c r="B27" s="91">
        <f t="shared" si="0"/>
        <v>13</v>
      </c>
      <c r="C27" s="92" t="str">
        <f>+IFERROR(INDEX(Hoja1!$A$2:$A$82,MATCH(J27,Hoja1!$H$2:$H$82,0)),"")</f>
        <v>2.1</v>
      </c>
      <c r="D27" s="93" t="str">
        <f>IFERROR(VLOOKUP(C27,Hoja1!$A$2:$H$82,4,0),"")</f>
        <v>Ambiente de Control</v>
      </c>
      <c r="E27" s="93" t="str">
        <f>+IFERROR(VLOOKUP(C27,Hoja1!$A$1:$J$82,10,0),"")</f>
        <v xml:space="preserve">Aplicación de mecanismos para ejercer una adecuada supervisión del Sistema de Control Interno </v>
      </c>
      <c r="F27" s="93" t="str">
        <f>+IFERROR(VLOOKUP(C27,Hoja1!$A$1:$I$82,3,0),"")</f>
        <v xml:space="preserve"> Creación o actualización del Comité Institucional de Coordinación de Control Interno (incluye ajustes en periodicidad para reunión, articulación con el Comité Institucioanl de Gestión y Desempeño)</v>
      </c>
      <c r="G27" s="92">
        <f>+IFERROR(VLOOKUP(C27,Hoja1!$A$1:$K$82,11,0),"")</f>
        <v>3</v>
      </c>
      <c r="H27" s="94">
        <f>+IFERROR(VLOOKUP(C27,Hoja1!$A$1:$L$82,12,0),"")</f>
        <v>3</v>
      </c>
      <c r="I27" s="85" t="str">
        <f t="shared" si="1"/>
        <v>Se encuentra presente y funciona correctamente, por lo tanto se requiere acciones o actividades  dirigidas a su mantenimiento dentro del marco de las lineas de defensa.</v>
      </c>
      <c r="J27" s="47">
        <v>13</v>
      </c>
      <c r="K27" s="83">
        <f>+VLOOKUP(C27,Hoja1!$A$1:$M$82,13,0)</f>
        <v>1</v>
      </c>
      <c r="L27" s="591"/>
      <c r="M27" s="44"/>
      <c r="N27" s="32"/>
      <c r="O27" s="32"/>
      <c r="P27" s="32"/>
      <c r="Q27" s="32"/>
      <c r="R27" s="32"/>
      <c r="S27" s="32"/>
    </row>
    <row r="28" spans="2:19" s="26" customFormat="1" ht="99.75" customHeight="1">
      <c r="B28" s="91">
        <f t="shared" si="0"/>
        <v>14</v>
      </c>
      <c r="C28" s="92" t="str">
        <f>+IFERROR(INDEX(Hoja1!$A$2:$A$82,MATCH(J28,Hoja1!$H$2:$H$82,0)),"")</f>
        <v>2.3</v>
      </c>
      <c r="D28" s="93" t="str">
        <f>IFERROR(VLOOKUP(C28,Hoja1!$A$2:$H$82,4,0),"")</f>
        <v>Ambiente de Control</v>
      </c>
      <c r="E28" s="93" t="str">
        <f>+IFERROR(VLOOKUP(C28,Hoja1!$A$1:$J$82,10,0),"")</f>
        <v xml:space="preserve">Aplicación de mecanismos para ejercer una adecuada supervisión del Sistema de Control Interno </v>
      </c>
      <c r="F28" s="93" t="str">
        <f>+IFERROR(VLOOKUP(C28,Hoja1!$A$1:$I$82,3,0),"")</f>
        <v xml:space="preserve"> Definición de líneas de reporte en temas clave para la toma de decisiones, atendiendo el Esquema de Líneas de Defens</v>
      </c>
      <c r="G28" s="92">
        <f>+IFERROR(VLOOKUP(C28,Hoja1!$A$1:$K$82,11,0),"")</f>
        <v>3</v>
      </c>
      <c r="H28" s="94">
        <f>+IFERROR(VLOOKUP(C28,Hoja1!$A$1:$L$82,12,0),"")</f>
        <v>3</v>
      </c>
      <c r="I28" s="85" t="str">
        <f t="shared" si="1"/>
        <v>Se encuentra presente y funciona correctamente, por lo tanto se requiere acciones o actividades  dirigidas a su mantenimiento dentro del marco de las lineas de defensa.</v>
      </c>
      <c r="J28" s="47">
        <v>14</v>
      </c>
      <c r="K28" s="83">
        <f>+VLOOKUP(C28,Hoja1!$A$1:$M$82,13,0)</f>
        <v>1</v>
      </c>
      <c r="L28" s="591"/>
      <c r="M28" s="44"/>
      <c r="N28" s="32"/>
      <c r="O28" s="32"/>
      <c r="P28" s="32"/>
      <c r="Q28" s="32"/>
      <c r="R28" s="32"/>
      <c r="S28" s="32"/>
    </row>
    <row r="29" spans="2:19" s="26" customFormat="1" ht="99.75" customHeight="1">
      <c r="B29" s="91">
        <f t="shared" si="0"/>
        <v>15</v>
      </c>
      <c r="C29" s="92" t="str">
        <f>+IFERROR(INDEX(Hoja1!$A$2:$A$82,MATCH(J29,Hoja1!$H$2:$H$82,0)),"")</f>
        <v>3.3</v>
      </c>
      <c r="D29" s="93" t="str">
        <f>IFERROR(VLOOKUP(C29,Hoja1!$A$2:$H$82,4,0),"")</f>
        <v>Ambiente de Control</v>
      </c>
      <c r="E29" s="93" t="str">
        <f>+IFERROR(VLOOKUP(C29,Hoja1!$A$1:$J$82,10,0),"")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9" s="93" t="str">
        <f>+IFERROR(VLOOKUP(C29,Hoja1!$A$1:$I$82,3,0),"")</f>
        <v xml:space="preserve"> Evaluación de la planeación estratégica, considerando alertas frente a posibles incumplimientos, necesidades de recursos, cambios en el entorno que puedan afectar su desarrollo, entre otros aspectos que garanticen de forma razonable su cumplimiento</v>
      </c>
      <c r="G29" s="92">
        <f>+IFERROR(VLOOKUP(C29,Hoja1!$A$1:$K$82,11,0),"")</f>
        <v>3</v>
      </c>
      <c r="H29" s="94">
        <f>+IFERROR(VLOOKUP(C29,Hoja1!$A$1:$L$82,12,0),"")</f>
        <v>3</v>
      </c>
      <c r="I29" s="85" t="str">
        <f t="shared" si="1"/>
        <v>Se encuentra presente y funciona correctamente, por lo tanto se requiere acciones o actividades  dirigidas a su mantenimiento dentro del marco de las lineas de defensa.</v>
      </c>
      <c r="J29" s="47">
        <v>15</v>
      </c>
      <c r="K29" s="83">
        <f>+VLOOKUP(C29,Hoja1!$A$1:$M$82,13,0)</f>
        <v>1</v>
      </c>
      <c r="L29" s="591"/>
      <c r="M29" s="44"/>
      <c r="N29" s="32"/>
      <c r="O29" s="32"/>
      <c r="P29" s="32"/>
      <c r="Q29" s="32"/>
      <c r="R29" s="32"/>
      <c r="S29" s="32"/>
    </row>
    <row r="30" spans="2:19" s="26" customFormat="1" ht="99.75" customHeight="1">
      <c r="B30" s="95">
        <f t="shared" si="0"/>
        <v>16</v>
      </c>
      <c r="C30" s="92" t="str">
        <f>+IFERROR(INDEX(Hoja1!$A$2:$A$82,MATCH(J30,Hoja1!$H$2:$H$82,0)),"")</f>
        <v>4.1</v>
      </c>
      <c r="D30" s="93" t="str">
        <f>IFERROR(VLOOKUP(C30,Hoja1!$A$2:$H$82,4,0),"")</f>
        <v>Ambiente de Control</v>
      </c>
      <c r="E30" s="93" t="str">
        <f>+IFERROR(VLOOKUP(C30,Hoja1!$A$1:$J$82,10,0),"")</f>
        <v>Compromiso con la competencia de todo el personal, por lo que la gestión del talento humano tiene un carácter estratégico con el despliegue de actividades clave para todo el ciclo de vida del servidor público –ingreso, permanencia y retiro.</v>
      </c>
      <c r="F30" s="93" t="str">
        <f>+IFERROR(VLOOKUP(C30,Hoja1!$A$1:$I$82,3,0),"")</f>
        <v xml:space="preserve"> Evaluación de la Planeación Estratégica del Talento Humano</v>
      </c>
      <c r="G30" s="92">
        <f>+IFERROR(VLOOKUP(C30,Hoja1!$A$1:$K$82,11,0),"")</f>
        <v>3</v>
      </c>
      <c r="H30" s="94">
        <f>+IFERROR(VLOOKUP(C30,Hoja1!$A$1:$L$82,12,0),"")</f>
        <v>3</v>
      </c>
      <c r="I30" s="85" t="str">
        <f t="shared" si="1"/>
        <v>Se encuentra presente y funciona correctamente, por lo tanto se requiere acciones o actividades  dirigidas a su mantenimiento dentro del marco de las lineas de defensa.</v>
      </c>
      <c r="J30" s="47">
        <v>16</v>
      </c>
      <c r="K30" s="83">
        <f>+VLOOKUP(C30,Hoja1!$A$1:$M$82,13,0)</f>
        <v>1</v>
      </c>
      <c r="L30" s="591"/>
      <c r="M30" s="44"/>
      <c r="N30" s="32"/>
      <c r="O30" s="32"/>
      <c r="P30" s="32"/>
      <c r="Q30" s="32"/>
      <c r="R30" s="32"/>
      <c r="S30" s="32"/>
    </row>
    <row r="31" spans="2:19" s="26" customFormat="1" ht="99.75" customHeight="1">
      <c r="B31" s="91">
        <f t="shared" si="0"/>
        <v>17</v>
      </c>
      <c r="C31" s="92" t="str">
        <f>+IFERROR(INDEX(Hoja1!$A$2:$A$82,MATCH(J31,Hoja1!$H$2:$H$82,0)),"")</f>
        <v>4.4</v>
      </c>
      <c r="D31" s="93" t="str">
        <f>IFERROR(VLOOKUP(C31,Hoja1!$A$2:$H$82,4,0),"")</f>
        <v>Ambiente de Control</v>
      </c>
      <c r="E31" s="93" t="str">
        <f>+IFERROR(VLOOKUP(C31,Hoja1!$A$1:$J$82,10,0),"")</f>
        <v>Compromiso con la competencia de todo el personal, por lo que la gestión del talento humano tiene un carácter estratégico con el despliegue de actividades clave para todo el ciclo de vida del servidor público –ingreso, permanencia y retiro.</v>
      </c>
      <c r="F31" s="93" t="str">
        <f>+IFERROR(VLOOKUP(C31,Hoja1!$A$1:$I$82,3,0),"")</f>
        <v>Analizar si se cuenta con políticas claras y comunicadas relacionadas con la responsabilidad de cada servidor sobre el desarrollo y mantenimiento del control interno (1a línea de defensa</v>
      </c>
      <c r="G31" s="92">
        <f>+IFERROR(VLOOKUP(C31,Hoja1!$A$1:$K$82,11,0),"")</f>
        <v>3</v>
      </c>
      <c r="H31" s="94">
        <f>+IFERROR(VLOOKUP(C31,Hoja1!$A$1:$L$82,12,0),"")</f>
        <v>3</v>
      </c>
      <c r="I31" s="85" t="str">
        <f t="shared" si="1"/>
        <v>Se encuentra presente y funciona correctamente, por lo tanto se requiere acciones o actividades  dirigidas a su mantenimiento dentro del marco de las lineas de defensa.</v>
      </c>
      <c r="J31" s="47">
        <v>17</v>
      </c>
      <c r="K31" s="83">
        <f>+VLOOKUP(C31,Hoja1!$A$1:$M$82,13,0)</f>
        <v>1</v>
      </c>
      <c r="L31" s="591"/>
      <c r="M31" s="44"/>
      <c r="N31" s="32"/>
      <c r="O31" s="32"/>
      <c r="P31" s="32"/>
      <c r="Q31" s="32"/>
      <c r="R31" s="32"/>
      <c r="S31" s="32"/>
    </row>
    <row r="32" spans="2:19" s="26" customFormat="1" ht="99.75" customHeight="1">
      <c r="B32" s="95">
        <f t="shared" si="0"/>
        <v>18</v>
      </c>
      <c r="C32" s="92" t="str">
        <f>+IFERROR(INDEX(Hoja1!$A$2:$A$82,MATCH(J32,Hoja1!$H$2:$H$82,0)),"")</f>
        <v>4.6</v>
      </c>
      <c r="D32" s="93" t="str">
        <f>IFERROR(VLOOKUP(C32,Hoja1!$A$2:$H$82,4,0),"")</f>
        <v>Ambiente de Control</v>
      </c>
      <c r="E32" s="93" t="str">
        <f>+IFERROR(VLOOKUP(C32,Hoja1!$A$1:$J$82,10,0),"")</f>
        <v>Compromiso con la competencia de todo el personal, por lo que la gestión del talento humano tiene un carácter estratégico con el despliegue de actividades clave para todo el ciclo de vida del servidor público –ingreso, permanencia y retiro.</v>
      </c>
      <c r="F32" s="93" t="str">
        <f>+IFERROR(VLOOKUP(C32,Hoja1!$A$1:$I$82,3,0),"")</f>
        <v xml:space="preserve"> Evaluar el impacto del Plan Institucional de Capacitación - PI</v>
      </c>
      <c r="G32" s="92">
        <f>+IFERROR(VLOOKUP(C32,Hoja1!$A$1:$K$82,11,0),"")</f>
        <v>3</v>
      </c>
      <c r="H32" s="94">
        <f>+IFERROR(VLOOKUP(C32,Hoja1!$A$1:$L$82,12,0),"")</f>
        <v>3</v>
      </c>
      <c r="I32" s="85" t="str">
        <f t="shared" si="1"/>
        <v>Se encuentra presente y funciona correctamente, por lo tanto se requiere acciones o actividades  dirigidas a su mantenimiento dentro del marco de las lineas de defensa.</v>
      </c>
      <c r="J32" s="47">
        <v>18</v>
      </c>
      <c r="K32" s="83">
        <f>+VLOOKUP(C32,Hoja1!$A$1:$M$82,13,0)</f>
        <v>1</v>
      </c>
      <c r="L32" s="591"/>
      <c r="M32" s="44"/>
      <c r="N32" s="32"/>
      <c r="O32" s="32"/>
      <c r="P32" s="32"/>
      <c r="Q32" s="32"/>
      <c r="R32" s="32"/>
      <c r="S32" s="32"/>
    </row>
    <row r="33" spans="2:19" s="26" customFormat="1" ht="99.75" customHeight="1">
      <c r="B33" s="91">
        <f t="shared" si="0"/>
        <v>19</v>
      </c>
      <c r="C33" s="92" t="str">
        <f>+IFERROR(INDEX(Hoja1!$A$2:$A$82,MATCH(J33,Hoja1!$H$2:$H$82,0)),"")</f>
        <v>5.2</v>
      </c>
      <c r="D33" s="93" t="str">
        <f>IFERROR(VLOOKUP(C33,Hoja1!$A$2:$H$82,4,0),"")</f>
        <v>Ambiente de Control</v>
      </c>
      <c r="E33" s="93" t="str">
        <f>+IFERROR(VLOOKUP(C33,Hoja1!$A$1:$J$82,10,0),"")</f>
        <v>La entidad establece líneas de reporte dentro de la entidad para evaluar el funcionamiento del Sistema de Control Interno.</v>
      </c>
      <c r="F33" s="93" t="str">
        <f>+IFERROR(VLOOKUP(C33,Hoja1!$A$1:$I$82,3,0),"")</f>
        <v xml:space="preserve"> La Alta Dirección analiza la información asociada con la generación de reportes financieros</v>
      </c>
      <c r="G33" s="92">
        <f>+IFERROR(VLOOKUP(C33,Hoja1!$A$1:$K$82,11,0),"")</f>
        <v>3</v>
      </c>
      <c r="H33" s="94">
        <f>+IFERROR(VLOOKUP(C33,Hoja1!$A$1:$L$82,12,0),"")</f>
        <v>3</v>
      </c>
      <c r="I33" s="85" t="str">
        <f t="shared" si="1"/>
        <v>Se encuentra presente y funciona correctamente, por lo tanto se requiere acciones o actividades  dirigidas a su mantenimiento dentro del marco de las lineas de defensa.</v>
      </c>
      <c r="J33" s="47">
        <v>19</v>
      </c>
      <c r="K33" s="83">
        <f>+VLOOKUP(C33,Hoja1!$A$1:$M$82,13,0)</f>
        <v>1</v>
      </c>
      <c r="L33" s="591"/>
      <c r="M33" s="44"/>
      <c r="N33" s="32"/>
      <c r="O33" s="32"/>
      <c r="P33" s="32"/>
      <c r="Q33" s="32"/>
      <c r="R33" s="32"/>
      <c r="S33" s="32"/>
    </row>
    <row r="34" spans="2:19" s="26" customFormat="1" ht="99.75" customHeight="1">
      <c r="B34" s="91">
        <f t="shared" si="0"/>
        <v>20</v>
      </c>
      <c r="C34" s="92" t="str">
        <f>+IFERROR(INDEX(Hoja1!$A$2:$A$82,MATCH(J34,Hoja1!$H$2:$H$82,0)),"")</f>
        <v>5.3</v>
      </c>
      <c r="D34" s="93" t="str">
        <f>IFERROR(VLOOKUP(C34,Hoja1!$A$2:$H$82,4,0),"")</f>
        <v>Ambiente de Control</v>
      </c>
      <c r="E34" s="93" t="str">
        <f>+IFERROR(VLOOKUP(C34,Hoja1!$A$1:$J$82,10,0),"")</f>
        <v>La entidad establece líneas de reporte dentro de la entidad para evaluar el funcionamiento del Sistema de Control Interno.</v>
      </c>
      <c r="F34" s="93" t="str">
        <f>+IFERROR(VLOOKUP(C34,Hoja1!$A$1:$I$82,3,0),"")</f>
        <v xml:space="preserve"> Teniendo en cuenta la información suministrada por la 2a y 3a línea de defensa se toman decisiones a tiempo para garantizar el cumplimiento de las metas y objetivos</v>
      </c>
      <c r="G34" s="92">
        <f>+IFERROR(VLOOKUP(C34,Hoja1!$A$1:$K$82,11,0),"")</f>
        <v>3</v>
      </c>
      <c r="H34" s="94">
        <f>+IFERROR(VLOOKUP(C34,Hoja1!$A$1:$L$82,12,0),"")</f>
        <v>3</v>
      </c>
      <c r="I34" s="85" t="str">
        <f t="shared" si="1"/>
        <v>Se encuentra presente y funciona correctamente, por lo tanto se requiere acciones o actividades  dirigidas a su mantenimiento dentro del marco de las lineas de defensa.</v>
      </c>
      <c r="J34" s="47">
        <v>20</v>
      </c>
      <c r="K34" s="83">
        <f>+VLOOKUP(C34,Hoja1!$A$1:$M$82,13,0)</f>
        <v>1</v>
      </c>
      <c r="L34" s="591"/>
      <c r="M34" s="44"/>
      <c r="N34" s="32"/>
      <c r="O34" s="32"/>
      <c r="P34" s="32"/>
      <c r="Q34" s="32"/>
      <c r="R34" s="32"/>
      <c r="S34" s="32"/>
    </row>
    <row r="35" spans="2:19" s="26" customFormat="1" ht="99.75" customHeight="1">
      <c r="B35" s="91">
        <f t="shared" si="0"/>
        <v>21</v>
      </c>
      <c r="C35" s="92" t="str">
        <f>+IFERROR(INDEX(Hoja1!$A$2:$A$82,MATCH(J35,Hoja1!$H$2:$H$82,0)),"")</f>
        <v>5.4</v>
      </c>
      <c r="D35" s="93" t="str">
        <f>IFERROR(VLOOKUP(C35,Hoja1!$A$2:$H$82,4,0),"")</f>
        <v>Ambiente de Control</v>
      </c>
      <c r="E35" s="93" t="str">
        <f>+IFERROR(VLOOKUP(C35,Hoja1!$A$1:$J$82,10,0),"")</f>
        <v>La entidad establece líneas de reporte dentro de la entidad para evaluar el funcionamiento del Sistema de Control Interno.</v>
      </c>
      <c r="F35" s="93" t="str">
        <f>+IFERROR(VLOOKUP(C35,Hoja1!$A$1:$I$82,3,0),"")</f>
        <v xml:space="preserve"> Se evalúa la estructura de control a partir de los cambios en procesos, procedimientos, u otras herramientas, a fin de garantizar su adecuada formulación y afectación frente a la gestión del riesgo</v>
      </c>
      <c r="G35" s="92">
        <f>+IFERROR(VLOOKUP(C35,Hoja1!$A$1:$K$82,11,0),"")</f>
        <v>3</v>
      </c>
      <c r="H35" s="94">
        <f>+IFERROR(VLOOKUP(C35,Hoja1!$A$1:$L$82,12,0),"")</f>
        <v>3</v>
      </c>
      <c r="I35" s="85" t="str">
        <f t="shared" si="1"/>
        <v>Se encuentra presente y funciona correctamente, por lo tanto se requiere acciones o actividades  dirigidas a su mantenimiento dentro del marco de las lineas de defensa.</v>
      </c>
      <c r="J35" s="47">
        <v>21</v>
      </c>
      <c r="K35" s="83">
        <f>+VLOOKUP(C35,Hoja1!$A$1:$M$82,13,0)</f>
        <v>1</v>
      </c>
      <c r="L35" s="591"/>
      <c r="M35" s="44"/>
      <c r="N35" s="32"/>
      <c r="O35" s="32"/>
      <c r="P35" s="32"/>
      <c r="Q35" s="32"/>
      <c r="R35" s="32"/>
      <c r="S35" s="32"/>
    </row>
    <row r="36" spans="2:19" s="26" customFormat="1" ht="99.75" customHeight="1">
      <c r="B36" s="95">
        <f t="shared" si="0"/>
        <v>22</v>
      </c>
      <c r="C36" s="92" t="str">
        <f>+IFERROR(INDEX(Hoja1!$A$2:$A$82,MATCH(J36,Hoja1!$H$2:$H$82,0)),"")</f>
        <v>5.5</v>
      </c>
      <c r="D36" s="93" t="str">
        <f>IFERROR(VLOOKUP(C36,Hoja1!$A$2:$H$82,4,0),"")</f>
        <v>Ambiente de Control</v>
      </c>
      <c r="E36" s="93" t="str">
        <f>+IFERROR(VLOOKUP(C36,Hoja1!$A$1:$J$82,10,0),"")</f>
        <v>La entidad establece líneas de reporte dentro de la entidad para evaluar el funcionamiento del Sistema de Control Interno.</v>
      </c>
      <c r="F36" s="93" t="str">
        <f>+IFERROR(VLOOKUP(C36,Hoja1!$A$1:$I$82,3,0),"")</f>
        <v xml:space="preserve"> La entidad aprueba y hace seguimiento al Plan Anual de Auditoría presentado y ejecutado por parte de la Oficina de Control Interno</v>
      </c>
      <c r="G36" s="92">
        <f>+IFERROR(VLOOKUP(C36,Hoja1!$A$1:$K$82,11,0),"")</f>
        <v>3</v>
      </c>
      <c r="H36" s="94">
        <f>+IFERROR(VLOOKUP(C36,Hoja1!$A$1:$L$82,12,0),"")</f>
        <v>3</v>
      </c>
      <c r="I36" s="85" t="str">
        <f t="shared" si="1"/>
        <v>Se encuentra presente y funciona correctamente, por lo tanto se requiere acciones o actividades  dirigidas a su mantenimiento dentro del marco de las lineas de defensa.</v>
      </c>
      <c r="J36" s="47">
        <v>22</v>
      </c>
      <c r="K36" s="83">
        <f>+VLOOKUP(C36,Hoja1!$A$1:$M$82,13,0)</f>
        <v>1</v>
      </c>
      <c r="L36" s="591"/>
      <c r="M36" s="44"/>
      <c r="N36" s="32"/>
      <c r="O36" s="32"/>
      <c r="P36" s="32"/>
      <c r="Q36" s="32"/>
      <c r="R36" s="32"/>
      <c r="S36" s="32"/>
    </row>
    <row r="37" spans="2:19" s="26" customFormat="1" ht="99.75" customHeight="1">
      <c r="B37" s="91">
        <f t="shared" si="0"/>
        <v>23</v>
      </c>
      <c r="C37" s="92" t="str">
        <f>+IFERROR(INDEX(Hoja1!$A$2:$A$82,MATCH(J37,Hoja1!$H$2:$H$82,0)),"")</f>
        <v>5.6</v>
      </c>
      <c r="D37" s="93" t="str">
        <f>IFERROR(VLOOKUP(C37,Hoja1!$A$2:$H$82,4,0),"")</f>
        <v>Ambiente de Control</v>
      </c>
      <c r="E37" s="93" t="str">
        <f>+IFERROR(VLOOKUP(C37,Hoja1!$A$1:$J$82,10,0),"")</f>
        <v>La entidad establece líneas de reporte dentro de la entidad para evaluar el funcionamiento del Sistema de Control Interno.</v>
      </c>
      <c r="F37" s="93" t="str">
        <f>+IFERROR(VLOOKUP(C37,Hoja1!$A$1:$I$82,3,0),"")</f>
        <v xml:space="preserve"> La entidad analiza los informes presentados por la Oficina de Control Interno y evalúa su impacto en relación con la mejora institucional</v>
      </c>
      <c r="G37" s="92">
        <f>+IFERROR(VLOOKUP(C37,Hoja1!$A$1:$K$82,11,0),"")</f>
        <v>3</v>
      </c>
      <c r="H37" s="94">
        <f>+IFERROR(VLOOKUP(C37,Hoja1!$A$1:$L$82,12,0),"")</f>
        <v>3</v>
      </c>
      <c r="I37" s="85" t="str">
        <f t="shared" si="1"/>
        <v>Se encuentra presente y funciona correctamente, por lo tanto se requiere acciones o actividades  dirigidas a su mantenimiento dentro del marco de las lineas de defensa.</v>
      </c>
      <c r="J37" s="47">
        <v>23</v>
      </c>
      <c r="K37" s="83">
        <f>+VLOOKUP(C37,Hoja1!$A$1:$M$82,13,0)</f>
        <v>1</v>
      </c>
      <c r="L37" s="591"/>
      <c r="M37" s="44"/>
      <c r="N37" s="32"/>
      <c r="O37" s="32"/>
      <c r="P37" s="32"/>
      <c r="Q37" s="32"/>
      <c r="R37" s="32"/>
      <c r="S37" s="32"/>
    </row>
    <row r="38" spans="2:19" s="26" customFormat="1" ht="99.75" customHeight="1">
      <c r="B38" s="95">
        <f t="shared" si="0"/>
        <v>24</v>
      </c>
      <c r="C38" s="92" t="str">
        <f>+IFERROR(INDEX(Hoja1!$A$2:$A$82,MATCH(J38,Hoja1!$H$2:$H$82,0)),"")</f>
        <v>4.7</v>
      </c>
      <c r="D38" s="93" t="str">
        <f>IFERROR(VLOOKUP(C38,Hoja1!$A$2:$H$82,4,0),"")</f>
        <v>Ambiente de Control</v>
      </c>
      <c r="E38" s="93" t="str">
        <f>+IFERROR(VLOOKUP(C38,Hoja1!$A$1:$J$82,10,0),"")</f>
        <v>Compromiso con la competencia de todo el personal, por lo que la gestión del talento humano tiene un carácter estratégico con el despliegue de actividades clave para todo el ciclo de vida del servidor público –ingreso, permanencia y retiro.</v>
      </c>
      <c r="F38" s="93" t="str">
        <f>+IFERROR(VLOOKUP(C38,Hoja1!$A$1:$I$82,3,0),"")</f>
        <v xml:space="preserve"> Evaluación frente a los productos y servicios en los cuales participan los contratistas de apoyo</v>
      </c>
      <c r="G38" s="92">
        <f>+IFERROR(VLOOKUP(C38,Hoja1!$A$1:$K$82,11,0),"")</f>
        <v>3</v>
      </c>
      <c r="H38" s="94">
        <f>+IFERROR(VLOOKUP(C38,Hoja1!$A$1:$L$82,12,0),"")</f>
        <v>3</v>
      </c>
      <c r="I38" s="85" t="str">
        <f t="shared" si="1"/>
        <v>Se encuentra presente y funciona correctamente, por lo tanto se requiere acciones o actividades  dirigidas a su mantenimiento dentro del marco de las lineas de defensa.</v>
      </c>
      <c r="J38" s="47">
        <v>24</v>
      </c>
      <c r="K38" s="83">
        <f>+VLOOKUP(C38,Hoja1!$A$1:$M$82,13,0)</f>
        <v>1</v>
      </c>
      <c r="L38" s="592"/>
      <c r="M38" s="44"/>
      <c r="N38" s="32"/>
      <c r="O38" s="32"/>
      <c r="P38" s="32"/>
      <c r="Q38" s="32"/>
      <c r="R38" s="32"/>
      <c r="S38" s="32"/>
    </row>
    <row r="39" spans="2:19" s="26" customFormat="1" ht="99.75" customHeight="1">
      <c r="B39" s="91">
        <f t="shared" si="0"/>
        <v>25</v>
      </c>
      <c r="C39" s="92" t="str">
        <f>+IFERROR(INDEX(Hoja1!$A$2:$A$82,MATCH(J39,Hoja1!$H$2:$H$82,0)),"")</f>
        <v>6.2</v>
      </c>
      <c r="D39" s="93" t="str">
        <f>IFERROR(VLOOKUP(C39,Hoja1!$A$2:$H$82,4,0),"")</f>
        <v>Evaluación de riesgos</v>
      </c>
      <c r="E39" s="93" t="str">
        <f>+IFERROR(VLOOKUP(C39,Hoja1!$A$1:$J$82,10,0),"")</f>
        <v xml:space="preserve">Definición de objetivos con suficiente claridad para identificar y evaluar los riesgos relacionados: i)Estratégicos; ii)Operativos; iii)Legales y Presupuestales; iv)De Información Financiera y no Financiera.
</v>
      </c>
      <c r="F39" s="93" t="str">
        <f>+IFERROR(VLOOKUP(C39,Hoja1!$A$1:$I$82,3,0),"")</f>
        <v xml:space="preserve"> Los objetivos de los procesos, programas o proyectos (según aplique) que están definidos, son específicos, medibles, alcanzables, relevantes, delimitados en el tiempo</v>
      </c>
      <c r="G39" s="92">
        <f>+IFERROR(VLOOKUP(C39,Hoja1!$A$1:$K$82,11,0),"")</f>
        <v>3</v>
      </c>
      <c r="H39" s="94">
        <f>+IFERROR(VLOOKUP(C39,Hoja1!$A$1:$L$82,12,0),"")</f>
        <v>2</v>
      </c>
      <c r="I39" s="85" t="str">
        <f t="shared" si="1"/>
        <v>Se encuentra presente y funcionando, pero requiere acciones dirigidas a fortalecer  o mejorar su diseño y/o ejecucion.</v>
      </c>
      <c r="J39" s="47">
        <v>25</v>
      </c>
      <c r="K39" s="83">
        <f>+VLOOKUP(C39,Hoja1!$A$1:$M$82,13,0)</f>
        <v>0.5</v>
      </c>
      <c r="L39" s="593">
        <f>+AVERAGE(K39:K55)</f>
        <v>0.8529411764705882</v>
      </c>
      <c r="M39" s="44"/>
      <c r="N39" s="32"/>
      <c r="O39" s="32"/>
      <c r="P39" s="32"/>
      <c r="Q39" s="32"/>
      <c r="R39" s="32"/>
      <c r="S39" s="32"/>
    </row>
    <row r="40" spans="2:19" s="26" customFormat="1" ht="99.75" customHeight="1">
      <c r="B40" s="91">
        <f t="shared" si="0"/>
        <v>26</v>
      </c>
      <c r="C40" s="92" t="str">
        <f>+IFERROR(INDEX(Hoja1!$A$2:$A$82,MATCH(J40,Hoja1!$H$2:$H$82,0)),"")</f>
        <v>7.1</v>
      </c>
      <c r="D40" s="93" t="str">
        <f>IFERROR(VLOOKUP(C40,Hoja1!$A$2:$H$82,4,0),"")</f>
        <v>Evaluación de riesgos</v>
      </c>
      <c r="E40" s="93" t="str">
        <f>+IFERROR(VLOOKUP(C40,Hoja1!$A$1:$J$82,10,0),"")</f>
        <v xml:space="preserve">Identificación y análisis de riesgos (Analiza factores internos y externos; Implica a los niveles apropiados de la dirección; Determina cómo responder a los riesgos; Determina la importancia de los riesgos). </v>
      </c>
      <c r="F40" s="93" t="str">
        <f>+IFERROR(VLOOKUP(C40,Hoja1!$A$1:$I$82,3,0),"")</f>
        <v xml:space="preserve"> Teniendo en cuenta la estructura de la política de Administración del Riesgo, su alcance define lineamientos para toda la entidad, incluyendo regionales, áreas tercerizadas u otras instancias que afectan la prestación del servicio</v>
      </c>
      <c r="G40" s="92">
        <f>+IFERROR(VLOOKUP(C40,Hoja1!$A$1:$K$82,11,0),"")</f>
        <v>3</v>
      </c>
      <c r="H40" s="94">
        <f>+IFERROR(VLOOKUP(C40,Hoja1!$A$1:$L$82,12,0),"")</f>
        <v>2</v>
      </c>
      <c r="I40" s="85" t="str">
        <f t="shared" si="1"/>
        <v>Se encuentra presente y funcionando, pero requiere acciones dirigidas a fortalecer  o mejorar su diseño y/o ejecucion.</v>
      </c>
      <c r="J40" s="47">
        <v>26</v>
      </c>
      <c r="K40" s="83">
        <f>+VLOOKUP(C40,Hoja1!$A$1:$M$82,13,0)</f>
        <v>0.5</v>
      </c>
      <c r="L40" s="591"/>
      <c r="M40" s="44"/>
      <c r="N40" s="32"/>
      <c r="O40" s="32"/>
      <c r="P40" s="32"/>
      <c r="Q40" s="32"/>
      <c r="R40" s="32"/>
      <c r="S40" s="32"/>
    </row>
    <row r="41" spans="2:19" s="26" customFormat="1" ht="99.75" customHeight="1">
      <c r="B41" s="91">
        <f t="shared" si="0"/>
        <v>27</v>
      </c>
      <c r="C41" s="92" t="str">
        <f>+IFERROR(INDEX(Hoja1!$A$2:$A$82,MATCH(J41,Hoja1!$H$2:$H$82,0)),"")</f>
        <v>8.1</v>
      </c>
      <c r="D41" s="93" t="str">
        <f>IFERROR(VLOOKUP(C41,Hoja1!$A$2:$H$82,4,0),"")</f>
        <v>Evaluación de riesgos</v>
      </c>
      <c r="E41" s="93" t="str">
        <f>+IFERROR(VLOOKUP(C41,Hoja1!$A$1:$J$82,10,0),"")</f>
        <v xml:space="preserve">Evaluación del riesgo de fraude o corrupción. 
Cumplimiento artículo 73 de la Ley 1474 de 2011, relacionado con la prevención de los riesgos de corrupción.
</v>
      </c>
      <c r="F41" s="93" t="str">
        <f>+IFERROR(VLOOKUP(C41,Hoja1!$A$1:$I$82,3,0),"")</f>
        <v xml:space="preserve"> La Alta Dirección acorde con el análisis del entorno interno y externo, define los procesos, programas o proyectos (según aplique), susceptibles de posibles actos de corrupción</v>
      </c>
      <c r="G41" s="92">
        <f>+IFERROR(VLOOKUP(C41,Hoja1!$A$1:$K$82,11,0),"")</f>
        <v>3</v>
      </c>
      <c r="H41" s="94">
        <f>+IFERROR(VLOOKUP(C41,Hoja1!$A$1:$L$82,12,0),"")</f>
        <v>2</v>
      </c>
      <c r="I41" s="85" t="str">
        <f t="shared" si="1"/>
        <v>Se encuentra presente y funcionando, pero requiere acciones dirigidas a fortalecer  o mejorar su diseño y/o ejecucion.</v>
      </c>
      <c r="J41" s="47">
        <v>27</v>
      </c>
      <c r="K41" s="83">
        <f>+VLOOKUP(C41,Hoja1!$A$1:$M$82,13,0)</f>
        <v>0.5</v>
      </c>
      <c r="L41" s="591"/>
      <c r="M41" s="44"/>
      <c r="N41" s="32"/>
      <c r="O41" s="32"/>
      <c r="P41" s="32"/>
      <c r="Q41" s="32"/>
      <c r="R41" s="32"/>
      <c r="S41" s="32"/>
    </row>
    <row r="42" spans="2:19" s="26" customFormat="1" ht="99.75" customHeight="1">
      <c r="B42" s="95">
        <f t="shared" si="0"/>
        <v>28</v>
      </c>
      <c r="C42" s="92" t="str">
        <f>+IFERROR(INDEX(Hoja1!$A$2:$A$82,MATCH(J42,Hoja1!$H$2:$H$82,0)),"")</f>
        <v>8.2</v>
      </c>
      <c r="D42" s="93" t="str">
        <f>IFERROR(VLOOKUP(C42,Hoja1!$A$2:$H$82,4,0),"")</f>
        <v>Evaluación de riesgos</v>
      </c>
      <c r="E42" s="93" t="str">
        <f>+IFERROR(VLOOKUP(C42,Hoja1!$A$1:$J$82,10,0),"")</f>
        <v xml:space="preserve">Evaluación del riesgo de fraude o corrupción. 
Cumplimiento artículo 73 de la Ley 1474 de 2011, relacionado con la prevención de los riesgos de corrupción.
</v>
      </c>
      <c r="F42" s="93" t="str">
        <f>+IFERROR(VLOOKUP(C42,Hoja1!$A$1:$I$82,3,0),"")</f>
        <v xml:space="preserve"> La Alta Dirección monitorea los riesgos de corrupción con la periodicidad establecida en la Política de Administración del Riesgo</v>
      </c>
      <c r="G42" s="92">
        <f>+IFERROR(VLOOKUP(C42,Hoja1!$A$1:$K$82,11,0),"")</f>
        <v>3</v>
      </c>
      <c r="H42" s="94">
        <f>+IFERROR(VLOOKUP(C42,Hoja1!$A$1:$L$82,12,0),"")</f>
        <v>2</v>
      </c>
      <c r="I42" s="85" t="str">
        <f t="shared" si="1"/>
        <v>Se encuentra presente y funcionando, pero requiere acciones dirigidas a fortalecer  o mejorar su diseño y/o ejecucion.</v>
      </c>
      <c r="J42" s="47">
        <v>28</v>
      </c>
      <c r="K42" s="83">
        <f>+VLOOKUP(C42,Hoja1!$A$1:$M$82,13,0)</f>
        <v>0.5</v>
      </c>
      <c r="L42" s="591"/>
      <c r="M42" s="44"/>
      <c r="N42" s="32"/>
      <c r="O42" s="32"/>
      <c r="P42" s="32"/>
      <c r="Q42" s="32"/>
      <c r="R42" s="32"/>
      <c r="S42" s="32"/>
    </row>
    <row r="43" spans="2:19" s="26" customFormat="1" ht="99.75" customHeight="1">
      <c r="B43" s="91">
        <f t="shared" si="0"/>
        <v>29</v>
      </c>
      <c r="C43" s="92" t="str">
        <f>+IFERROR(INDEX(Hoja1!$A$2:$A$82,MATCH(J43,Hoja1!$H$2:$H$82,0)),"")</f>
        <v>9.3</v>
      </c>
      <c r="D43" s="93" t="str">
        <f>IFERROR(VLOOKUP(C43,Hoja1!$A$2:$H$82,4,0),"")</f>
        <v>Evaluación de riesgos</v>
      </c>
      <c r="E43" s="93" t="str">
        <f>+IFERROR(VLOOKUP(C43,Hoja1!$A$1:$J$82,10,0),"")</f>
        <v xml:space="preserve">Identificación y análisis de cambios significativos </v>
      </c>
      <c r="F43" s="93" t="str">
        <f>+IFERROR(VLOOKUP(C43,Hoja1!$A$1:$I$82,3,0),"")</f>
        <v xml:space="preserve"> La Alta Dirección monitorea los riesgos aceptados revisando que sus condiciones no hayan cambiado y definir su pertinencia para sostenerlos o ajustarlos</v>
      </c>
      <c r="G43" s="92">
        <f>+IFERROR(VLOOKUP(C43,Hoja1!$A$1:$K$82,11,0),"")</f>
        <v>3</v>
      </c>
      <c r="H43" s="94">
        <f>+IFERROR(VLOOKUP(C43,Hoja1!$A$1:$L$82,12,0),"")</f>
        <v>2</v>
      </c>
      <c r="I43" s="85" t="str">
        <f t="shared" si="1"/>
        <v>Se encuentra presente y funcionando, pero requiere acciones dirigidas a fortalecer  o mejorar su diseño y/o ejecucion.</v>
      </c>
      <c r="J43" s="47">
        <v>29</v>
      </c>
      <c r="K43" s="83">
        <f>+VLOOKUP(C43,Hoja1!$A$1:$M$82,13,0)</f>
        <v>0.5</v>
      </c>
      <c r="L43" s="591"/>
      <c r="M43" s="44"/>
      <c r="N43" s="32"/>
      <c r="O43" s="32"/>
      <c r="P43" s="32"/>
      <c r="Q43" s="32"/>
      <c r="R43" s="32"/>
      <c r="S43" s="32"/>
    </row>
    <row r="44" spans="2:19" s="26" customFormat="1" ht="99.75" customHeight="1">
      <c r="B44" s="95">
        <f t="shared" si="0"/>
        <v>30</v>
      </c>
      <c r="C44" s="92" t="str">
        <f>+IFERROR(INDEX(Hoja1!$A$2:$A$82,MATCH(J44,Hoja1!$H$2:$H$82,0)),"")</f>
        <v>6.1</v>
      </c>
      <c r="D44" s="93" t="str">
        <f>IFERROR(VLOOKUP(C44,Hoja1!$A$2:$H$82,4,0),"")</f>
        <v>Evaluación de riesgos</v>
      </c>
      <c r="E44" s="93" t="str">
        <f>+IFERROR(VLOOKUP(C44,Hoja1!$A$1:$J$82,10,0),"")</f>
        <v xml:space="preserve">Definición de objetivos con suficiente claridad para identificar y evaluar los riesgos relacionados: i)Estratégicos; ii)Operativos; iii)Legales y Presupuestales; iv)De Información Financiera y no Financiera.
</v>
      </c>
      <c r="F44" s="93" t="str">
        <f>+IFERROR(VLOOKUP(C44,Hoja1!$A$1:$I$82,3,0),"")</f>
        <v xml:space="preserve">  La Entidad cuenta con mecanismos para vincular o relacionar el plan estratégico con los objetivos estratégicos y estos a su vez con los objetivos operativos</v>
      </c>
      <c r="G44" s="92">
        <f>+IFERROR(VLOOKUP(C44,Hoja1!$A$1:$K$82,11,0),"")</f>
        <v>3</v>
      </c>
      <c r="H44" s="94">
        <f>+IFERROR(VLOOKUP(C44,Hoja1!$A$1:$L$82,12,0),"")</f>
        <v>3</v>
      </c>
      <c r="I44" s="85" t="str">
        <f t="shared" si="1"/>
        <v>Se encuentra presente y funciona correctamente, por lo tanto se requiere acciones o actividades  dirigidas a su mantenimiento dentro del marco de las lineas de defensa.</v>
      </c>
      <c r="J44" s="47">
        <v>30</v>
      </c>
      <c r="K44" s="83">
        <f>+VLOOKUP(C44,Hoja1!$A$1:$M$82,13,0)</f>
        <v>1</v>
      </c>
      <c r="L44" s="591"/>
      <c r="M44" s="44"/>
      <c r="N44" s="32"/>
      <c r="O44" s="32"/>
      <c r="P44" s="32"/>
      <c r="Q44" s="32"/>
      <c r="R44" s="32"/>
      <c r="S44" s="32"/>
    </row>
    <row r="45" spans="2:19" s="26" customFormat="1" ht="99.75" customHeight="1">
      <c r="B45" s="91">
        <f t="shared" si="0"/>
        <v>31</v>
      </c>
      <c r="C45" s="92" t="str">
        <f>+IFERROR(INDEX(Hoja1!$A$2:$A$82,MATCH(J45,Hoja1!$H$2:$H$82,0)),"")</f>
        <v>6.3</v>
      </c>
      <c r="D45" s="93" t="str">
        <f>IFERROR(VLOOKUP(C45,Hoja1!$A$2:$H$82,4,0),"")</f>
        <v>Evaluación de riesgos</v>
      </c>
      <c r="E45" s="93" t="str">
        <f>+IFERROR(VLOOKUP(C45,Hoja1!$A$1:$J$82,10,0),"")</f>
        <v xml:space="preserve">Definición de objetivos con suficiente claridad para identificar y evaluar los riesgos relacionados: i)Estratégicos; ii)Operativos; iii)Legales y Presupuestales; iv)De Información Financiera y no Financiera.
</v>
      </c>
      <c r="F45" s="93" t="str">
        <f>+IFERROR(VLOOKUP(C45,Hoja1!$A$1:$I$82,3,0),"")</f>
        <v xml:space="preserve"> La Alta Dirección evalúa periódicamente los objetivos establecidos para asegurar que estos continúan siendo consistentes y apropiados para la Entidad</v>
      </c>
      <c r="G45" s="92">
        <f>+IFERROR(VLOOKUP(C45,Hoja1!$A$1:$K$82,11,0),"")</f>
        <v>3</v>
      </c>
      <c r="H45" s="94">
        <f>+IFERROR(VLOOKUP(C45,Hoja1!$A$1:$L$82,12,0),"")</f>
        <v>3</v>
      </c>
      <c r="I45" s="85" t="str">
        <f t="shared" si="1"/>
        <v>Se encuentra presente y funciona correctamente, por lo tanto se requiere acciones o actividades  dirigidas a su mantenimiento dentro del marco de las lineas de defensa.</v>
      </c>
      <c r="J45" s="47">
        <v>31</v>
      </c>
      <c r="K45" s="83">
        <f>+VLOOKUP(C45,Hoja1!$A$1:$M$82,13,0)</f>
        <v>1</v>
      </c>
      <c r="L45" s="591"/>
      <c r="M45" s="44"/>
      <c r="N45" s="32"/>
      <c r="O45" s="32"/>
      <c r="P45" s="32"/>
      <c r="Q45" s="32"/>
      <c r="R45" s="32"/>
      <c r="S45" s="32"/>
    </row>
    <row r="46" spans="2:19" s="26" customFormat="1" ht="99.75" customHeight="1">
      <c r="B46" s="91">
        <f t="shared" si="0"/>
        <v>32</v>
      </c>
      <c r="C46" s="92" t="str">
        <f>+IFERROR(INDEX(Hoja1!$A$2:$A$82,MATCH(J46,Hoja1!$H$2:$H$82,0)),"")</f>
        <v>7.2</v>
      </c>
      <c r="D46" s="93" t="str">
        <f>IFERROR(VLOOKUP(C46,Hoja1!$A$2:$H$82,4,0),"")</f>
        <v>Evaluación de riesgos</v>
      </c>
      <c r="E46" s="93" t="str">
        <f>+IFERROR(VLOOKUP(C46,Hoja1!$A$1:$J$82,10,0),"")</f>
        <v xml:space="preserve">Identificación y análisis de riesgos (Analiza factores internos y externos; Implica a los niveles apropiados de la dirección; Determina cómo responder a los riesgos; Determina la importancia de los riesgos). </v>
      </c>
      <c r="F46" s="93" t="str">
        <f>+IFERROR(VLOOKUP(C46,Hoja1!$A$1:$I$82,3,0),"")</f>
        <v xml:space="preserve"> La Oficina de Planeación, Gerencia de Riesgos (donde existan), como 2a línea de defensa, consolidan información clave frente a la gestión del riesgo</v>
      </c>
      <c r="G46" s="92">
        <f>+IFERROR(VLOOKUP(C46,Hoja1!$A$1:$K$82,11,0),"")</f>
        <v>3</v>
      </c>
      <c r="H46" s="94">
        <f>+IFERROR(VLOOKUP(C46,Hoja1!$A$1:$L$82,12,0),"")</f>
        <v>3</v>
      </c>
      <c r="I46" s="85" t="str">
        <f t="shared" si="1"/>
        <v>Se encuentra presente y funciona correctamente, por lo tanto se requiere acciones o actividades  dirigidas a su mantenimiento dentro del marco de las lineas de defensa.</v>
      </c>
      <c r="J46" s="47">
        <v>32</v>
      </c>
      <c r="K46" s="83">
        <f>+VLOOKUP(C46,Hoja1!$A$1:$M$82,13,0)</f>
        <v>1</v>
      </c>
      <c r="L46" s="591"/>
      <c r="M46" s="44"/>
      <c r="N46" s="32"/>
      <c r="O46" s="32"/>
      <c r="P46" s="32"/>
      <c r="Q46" s="32"/>
      <c r="R46" s="32"/>
      <c r="S46" s="32"/>
    </row>
    <row r="47" spans="2:19" s="26" customFormat="1" ht="99.75" customHeight="1">
      <c r="B47" s="91">
        <f t="shared" si="0"/>
        <v>33</v>
      </c>
      <c r="C47" s="92" t="str">
        <f>+IFERROR(INDEX(Hoja1!$A$2:$A$82,MATCH(J47,Hoja1!$H$2:$H$82,0)),"")</f>
        <v>7.3</v>
      </c>
      <c r="D47" s="93" t="str">
        <f>IFERROR(VLOOKUP(C47,Hoja1!$A$2:$H$82,4,0),"")</f>
        <v>Evaluación de riesgos</v>
      </c>
      <c r="E47" s="93" t="str">
        <f>+IFERROR(VLOOKUP(C47,Hoja1!$A$1:$J$82,10,0),"")</f>
        <v xml:space="preserve">Identificación y análisis de riesgos (Analiza factores internos y externos; Implica a los niveles apropiados de la dirección; Determina cómo responder a los riesgos; Determina la importancia de los riesgos). </v>
      </c>
      <c r="F47" s="93" t="str">
        <f>+IFERROR(VLOOKUP(C47,Hoja1!$A$1:$I$82,3,0),"")</f>
        <v xml:space="preserve"> A partir de la información consolidada y reportada por la 2a línea de defensa (7.2), la Alta Dirección analiza sus resultados y en especial considera si se han presentado materializaciones de riesgo</v>
      </c>
      <c r="G47" s="92">
        <f>+IFERROR(VLOOKUP(C47,Hoja1!$A$1:$K$82,11,0),"")</f>
        <v>3</v>
      </c>
      <c r="H47" s="94">
        <f>+IFERROR(VLOOKUP(C47,Hoja1!$A$1:$L$82,12,0),"")</f>
        <v>3</v>
      </c>
      <c r="I47" s="85" t="str">
        <f t="shared" si="1"/>
        <v>Se encuentra presente y funciona correctamente, por lo tanto se requiere acciones o actividades  dirigidas a su mantenimiento dentro del marco de las lineas de defensa.</v>
      </c>
      <c r="J47" s="47">
        <v>33</v>
      </c>
      <c r="K47" s="83">
        <f>+VLOOKUP(C47,Hoja1!$A$1:$M$82,13,0)</f>
        <v>1</v>
      </c>
      <c r="L47" s="591"/>
      <c r="M47" s="44"/>
      <c r="N47" s="32"/>
      <c r="O47" s="32"/>
      <c r="P47" s="32"/>
      <c r="Q47" s="32"/>
      <c r="R47" s="32"/>
      <c r="S47" s="32"/>
    </row>
    <row r="48" spans="2:19" s="26" customFormat="1" ht="99.75" customHeight="1">
      <c r="B48" s="95">
        <f t="shared" si="0"/>
        <v>34</v>
      </c>
      <c r="C48" s="92" t="str">
        <f>+IFERROR(INDEX(Hoja1!$A$2:$A$82,MATCH(J48,Hoja1!$H$2:$H$82,0)),"")</f>
        <v>7.4</v>
      </c>
      <c r="D48" s="93" t="str">
        <f>IFERROR(VLOOKUP(C48,Hoja1!$A$2:$H$82,4,0),"")</f>
        <v>Evaluación de riesgos</v>
      </c>
      <c r="E48" s="93" t="str">
        <f>+IFERROR(VLOOKUP(C48,Hoja1!$A$1:$J$82,10,0),"")</f>
        <v xml:space="preserve">Identificación y análisis de riesgos (Analiza factores internos y externos; Implica a los niveles apropiados de la dirección; Determina cómo responder a los riesgos; Determina la importancia de los riesgos). </v>
      </c>
      <c r="F48" s="93" t="str">
        <f>+IFERROR(VLOOKUP(C48,Hoja1!$A$1:$I$82,3,0),"")</f>
        <v xml:space="preserve"> Cuando se detectan materializaciones de riesgo, se definen los cursos de acción en relación con la revisión y actualización del mapa de riesgos correspondiente</v>
      </c>
      <c r="G48" s="92">
        <f>+IFERROR(VLOOKUP(C48,Hoja1!$A$1:$K$82,11,0),"")</f>
        <v>3</v>
      </c>
      <c r="H48" s="94">
        <f>+IFERROR(VLOOKUP(C48,Hoja1!$A$1:$L$82,12,0),"")</f>
        <v>3</v>
      </c>
      <c r="I48" s="85" t="str">
        <f t="shared" si="1"/>
        <v>Se encuentra presente y funciona correctamente, por lo tanto se requiere acciones o actividades  dirigidas a su mantenimiento dentro del marco de las lineas de defensa.</v>
      </c>
      <c r="J48" s="47">
        <v>34</v>
      </c>
      <c r="K48" s="83">
        <f>+VLOOKUP(C48,Hoja1!$A$1:$M$82,13,0)</f>
        <v>1</v>
      </c>
      <c r="L48" s="591"/>
      <c r="M48" s="44"/>
      <c r="N48" s="32"/>
      <c r="O48" s="32"/>
      <c r="P48" s="32"/>
      <c r="Q48" s="32"/>
      <c r="R48" s="32"/>
      <c r="S48" s="32"/>
    </row>
    <row r="49" spans="2:19" s="26" customFormat="1" ht="99.75" customHeight="1">
      <c r="B49" s="91">
        <f t="shared" si="0"/>
        <v>35</v>
      </c>
      <c r="C49" s="92" t="str">
        <f>+IFERROR(INDEX(Hoja1!$A$2:$A$82,MATCH(J49,Hoja1!$H$2:$H$82,0)),"")</f>
        <v>7.5</v>
      </c>
      <c r="D49" s="93" t="str">
        <f>IFERROR(VLOOKUP(C49,Hoja1!$A$2:$H$82,4,0),"")</f>
        <v>Evaluación de riesgos</v>
      </c>
      <c r="E49" s="93" t="str">
        <f>+IFERROR(VLOOKUP(C49,Hoja1!$A$1:$J$82,10,0),"")</f>
        <v xml:space="preserve">Identificación y análisis de riesgos (Analiza factores internos y externos; Implica a los niveles apropiados de la dirección; Determina cómo responder a los riesgos; Determina la importancia de los riesgos). </v>
      </c>
      <c r="F49" s="93" t="str">
        <f>+IFERROR(VLOOKUP(C49,Hoja1!$A$1:$I$82,3,0),"")</f>
        <v xml:space="preserve"> Se llevan a cabo seguimientos a las acciones definidas para resolver materializaciones de riesgo detectadas</v>
      </c>
      <c r="G49" s="92">
        <f>+IFERROR(VLOOKUP(C49,Hoja1!$A$1:$K$82,11,0),"")</f>
        <v>3</v>
      </c>
      <c r="H49" s="94">
        <f>+IFERROR(VLOOKUP(C49,Hoja1!$A$1:$L$82,12,0),"")</f>
        <v>3</v>
      </c>
      <c r="I49" s="85" t="str">
        <f t="shared" si="1"/>
        <v>Se encuentra presente y funciona correctamente, por lo tanto se requiere acciones o actividades  dirigidas a su mantenimiento dentro del marco de las lineas de defensa.</v>
      </c>
      <c r="J49" s="47">
        <v>35</v>
      </c>
      <c r="K49" s="83">
        <f>+VLOOKUP(C49,Hoja1!$A$1:$M$82,13,0)</f>
        <v>1</v>
      </c>
      <c r="L49" s="591"/>
      <c r="M49" s="44"/>
      <c r="N49" s="32"/>
      <c r="O49" s="32"/>
      <c r="P49" s="32"/>
      <c r="Q49" s="32"/>
      <c r="R49" s="32"/>
      <c r="S49" s="32"/>
    </row>
    <row r="50" spans="2:19" s="26" customFormat="1" ht="99.75" customHeight="1">
      <c r="B50" s="95">
        <f t="shared" si="0"/>
        <v>36</v>
      </c>
      <c r="C50" s="92" t="str">
        <f>+IFERROR(INDEX(Hoja1!$A$2:$A$82,MATCH(J50,Hoja1!$H$2:$H$82,0)),"")</f>
        <v>8.3</v>
      </c>
      <c r="D50" s="93" t="str">
        <f>IFERROR(VLOOKUP(C50,Hoja1!$A$2:$H$82,4,0),"")</f>
        <v>Evaluación de riesgos</v>
      </c>
      <c r="E50" s="93" t="str">
        <f>+IFERROR(VLOOKUP(C50,Hoja1!$A$1:$J$82,10,0),"")</f>
        <v xml:space="preserve">Evaluación del riesgo de fraude o corrupción. 
Cumplimiento artículo 73 de la Ley 1474 de 2011, relacionado con la prevención de los riesgos de corrupción.
</v>
      </c>
      <c r="F50" s="93" t="str">
        <f>+IFERROR(VLOOKUP(C50,Hoja1!$A$1:$I$82,3,0),"")</f>
        <v xml:space="preserve"> Para el desarrollo de las actividades de control, la entidad considera la adecuada división de las funciones y que éstas se encuentren segregadas en diferentes personas para reducir el riesgo de acciones fraudulentas</v>
      </c>
      <c r="G50" s="92">
        <f>+IFERROR(VLOOKUP(C50,Hoja1!$A$1:$K$82,11,0),"")</f>
        <v>3</v>
      </c>
      <c r="H50" s="94">
        <f>+IFERROR(VLOOKUP(C50,Hoja1!$A$1:$L$82,12,0),"")</f>
        <v>3</v>
      </c>
      <c r="I50" s="85" t="str">
        <f t="shared" si="1"/>
        <v>Se encuentra presente y funciona correctamente, por lo tanto se requiere acciones o actividades  dirigidas a su mantenimiento dentro del marco de las lineas de defensa.</v>
      </c>
      <c r="J50" s="47">
        <v>36</v>
      </c>
      <c r="K50" s="83">
        <f>+VLOOKUP(C50,Hoja1!$A$1:$M$82,13,0)</f>
        <v>1</v>
      </c>
      <c r="L50" s="591"/>
      <c r="M50" s="44"/>
      <c r="N50" s="32"/>
      <c r="O50" s="32"/>
      <c r="P50" s="32"/>
      <c r="Q50" s="32"/>
      <c r="R50" s="32"/>
      <c r="S50" s="32"/>
    </row>
    <row r="51" spans="2:19" s="26" customFormat="1" ht="99.75" customHeight="1">
      <c r="B51" s="91">
        <f t="shared" si="0"/>
        <v>37</v>
      </c>
      <c r="C51" s="92" t="str">
        <f>+IFERROR(INDEX(Hoja1!$A$2:$A$82,MATCH(J51,Hoja1!$H$2:$H$82,0)),"")</f>
        <v>8.4</v>
      </c>
      <c r="D51" s="93" t="str">
        <f>IFERROR(VLOOKUP(C51,Hoja1!$A$2:$H$82,4,0),"")</f>
        <v>Evaluación de riesgos</v>
      </c>
      <c r="E51" s="93" t="str">
        <f>+IFERROR(VLOOKUP(C51,Hoja1!$A$1:$J$82,10,0),"")</f>
        <v xml:space="preserve">Evaluación del riesgo de fraude o corrupción. 
Cumplimiento artículo 73 de la Ley 1474 de 2011, relacionado con la prevención de los riesgos de corrupción.
</v>
      </c>
      <c r="F51" s="93" t="str">
        <f>+IFERROR(VLOOKUP(C51,Hoja1!$A$1:$I$82,3,0),"")</f>
        <v xml:space="preserve"> La Alta Dirección evalúa fallas en los controles (diseño y ejecución) para definir cursos de acción apropiados para su mejora</v>
      </c>
      <c r="G51" s="92">
        <f>+IFERROR(VLOOKUP(C51,Hoja1!$A$1:$K$82,11,0),"")</f>
        <v>3</v>
      </c>
      <c r="H51" s="94">
        <f>+IFERROR(VLOOKUP(C51,Hoja1!$A$1:$L$82,12,0),"")</f>
        <v>3</v>
      </c>
      <c r="I51" s="85" t="str">
        <f t="shared" si="1"/>
        <v>Se encuentra presente y funciona correctamente, por lo tanto se requiere acciones o actividades  dirigidas a su mantenimiento dentro del marco de las lineas de defensa.</v>
      </c>
      <c r="J51" s="47">
        <v>37</v>
      </c>
      <c r="K51" s="83">
        <f>+VLOOKUP(C51,Hoja1!$A$1:$M$82,13,0)</f>
        <v>1</v>
      </c>
      <c r="L51" s="591"/>
      <c r="M51" s="44"/>
      <c r="N51" s="32"/>
      <c r="O51" s="32"/>
      <c r="P51" s="32"/>
      <c r="Q51" s="32"/>
      <c r="R51" s="32"/>
      <c r="S51" s="32"/>
    </row>
    <row r="52" spans="2:19" s="26" customFormat="1" ht="99.75" customHeight="1">
      <c r="B52" s="91">
        <f t="shared" si="0"/>
        <v>38</v>
      </c>
      <c r="C52" s="92" t="str">
        <f>+IFERROR(INDEX(Hoja1!$A$2:$A$82,MATCH(J52,Hoja1!$H$2:$H$82,0)),"")</f>
        <v>9.1</v>
      </c>
      <c r="D52" s="93" t="str">
        <f>IFERROR(VLOOKUP(C52,Hoja1!$A$2:$H$82,4,0),"")</f>
        <v>Evaluación de riesgos</v>
      </c>
      <c r="E52" s="93" t="str">
        <f>+IFERROR(VLOOKUP(C52,Hoja1!$A$1:$J$82,10,0),"")</f>
        <v xml:space="preserve">Identificación y análisis de cambios significativos </v>
      </c>
      <c r="F52" s="93" t="str">
        <f>+IFERROR(VLOOKUP(C52,Hoja1!$A$1:$I$82,3,0),"")</f>
        <v xml:space="preserve"> Acorde con lo establecido en la política de Administración del Riesgo, se monitorean los factores internos y externos definidos para la entidad, a fin de establecer cambios en el entorno que determinen nuevos riesgos o ajustes a los existentes</v>
      </c>
      <c r="G52" s="92">
        <f>+IFERROR(VLOOKUP(C52,Hoja1!$A$1:$K$82,11,0),"")</f>
        <v>3</v>
      </c>
      <c r="H52" s="94">
        <f>+IFERROR(VLOOKUP(C52,Hoja1!$A$1:$L$82,12,0),"")</f>
        <v>3</v>
      </c>
      <c r="I52" s="85" t="str">
        <f t="shared" si="1"/>
        <v>Se encuentra presente y funciona correctamente, por lo tanto se requiere acciones o actividades  dirigidas a su mantenimiento dentro del marco de las lineas de defensa.</v>
      </c>
      <c r="J52" s="47">
        <v>38</v>
      </c>
      <c r="K52" s="83">
        <f>+VLOOKUP(C52,Hoja1!$A$1:$M$82,13,0)</f>
        <v>1</v>
      </c>
      <c r="L52" s="591"/>
      <c r="M52" s="44"/>
      <c r="N52" s="32"/>
      <c r="O52" s="32"/>
      <c r="P52" s="32"/>
      <c r="Q52" s="32"/>
      <c r="R52" s="32"/>
      <c r="S52" s="32"/>
    </row>
    <row r="53" spans="2:19" s="26" customFormat="1" ht="99.75" customHeight="1">
      <c r="B53" s="91">
        <f t="shared" si="0"/>
        <v>39</v>
      </c>
      <c r="C53" s="92" t="str">
        <f>+IFERROR(INDEX(Hoja1!$A$2:$A$82,MATCH(J53,Hoja1!$H$2:$H$82,0)),"")</f>
        <v>9.2</v>
      </c>
      <c r="D53" s="93" t="str">
        <f>IFERROR(VLOOKUP(C53,Hoja1!$A$2:$H$82,4,0),"")</f>
        <v>Evaluación de riesgos</v>
      </c>
      <c r="E53" s="93" t="str">
        <f>+IFERROR(VLOOKUP(C53,Hoja1!$A$1:$J$82,10,0),"")</f>
        <v xml:space="preserve">Identificación y análisis de cambios significativos </v>
      </c>
      <c r="F53" s="93" t="str">
        <f>+IFERROR(VLOOKUP(C53,Hoja1!$A$1:$I$82,3,0),"")</f>
        <v xml:space="preserve"> La Alta Dirección analiza los riesgos asociados a actividades tercerizadas, regionales u otras figuras externas que afecten la prestación del servicio a los usuarios, basados en los informes de la segunda y tercera linea de defensa</v>
      </c>
      <c r="G53" s="92">
        <f>+IFERROR(VLOOKUP(C53,Hoja1!$A$1:$K$82,11,0),"")</f>
        <v>3</v>
      </c>
      <c r="H53" s="94">
        <f>+IFERROR(VLOOKUP(C53,Hoja1!$A$1:$L$82,12,0),"")</f>
        <v>3</v>
      </c>
      <c r="I53" s="85" t="str">
        <f t="shared" si="1"/>
        <v>Se encuentra presente y funciona correctamente, por lo tanto se requiere acciones o actividades  dirigidas a su mantenimiento dentro del marco de las lineas de defensa.</v>
      </c>
      <c r="J53" s="47">
        <v>39</v>
      </c>
      <c r="K53" s="83">
        <f>+VLOOKUP(C53,Hoja1!$A$1:$M$82,13,0)</f>
        <v>1</v>
      </c>
      <c r="L53" s="591"/>
      <c r="M53" s="44"/>
      <c r="N53" s="32"/>
      <c r="O53" s="32"/>
      <c r="P53" s="32"/>
      <c r="Q53" s="32"/>
      <c r="R53" s="32"/>
      <c r="S53" s="32"/>
    </row>
    <row r="54" spans="2:19" s="26" customFormat="1" ht="99.75" customHeight="1">
      <c r="B54" s="95">
        <f t="shared" si="0"/>
        <v>40</v>
      </c>
      <c r="C54" s="92" t="str">
        <f>+IFERROR(INDEX(Hoja1!$A$2:$A$82,MATCH(J54,Hoja1!$H$2:$H$82,0)),"")</f>
        <v>9.4</v>
      </c>
      <c r="D54" s="93" t="str">
        <f>IFERROR(VLOOKUP(C54,Hoja1!$A$2:$H$82,4,0),"")</f>
        <v>Evaluación de riesgos</v>
      </c>
      <c r="E54" s="93" t="str">
        <f>+IFERROR(VLOOKUP(C54,Hoja1!$A$1:$J$82,10,0),"")</f>
        <v xml:space="preserve">Identificación y análisis de cambios significativos </v>
      </c>
      <c r="F54" s="93" t="str">
        <f>+IFERROR(VLOOKUP(C54,Hoja1!$A$1:$I$82,3,0),"")</f>
        <v xml:space="preserve"> La Alta Dirección evalúa fallas en los controles (diseño y ejecución) para definir cursos de acción apropiados para su mejora, basados en los informes de la segunda y tercera linea de defensa</v>
      </c>
      <c r="G54" s="92">
        <f>+IFERROR(VLOOKUP(C54,Hoja1!$A$1:$K$82,11,0),"")</f>
        <v>3</v>
      </c>
      <c r="H54" s="94">
        <f>+IFERROR(VLOOKUP(C54,Hoja1!$A$1:$L$82,12,0),"")</f>
        <v>3</v>
      </c>
      <c r="I54" s="85" t="str">
        <f t="shared" si="1"/>
        <v>Se encuentra presente y funciona correctamente, por lo tanto se requiere acciones o actividades  dirigidas a su mantenimiento dentro del marco de las lineas de defensa.</v>
      </c>
      <c r="J54" s="47">
        <v>40</v>
      </c>
      <c r="K54" s="83">
        <f>+VLOOKUP(C54,Hoja1!$A$1:$M$82,13,0)</f>
        <v>1</v>
      </c>
      <c r="L54" s="591"/>
      <c r="M54" s="44"/>
      <c r="N54" s="32"/>
      <c r="O54" s="32"/>
      <c r="P54" s="32"/>
      <c r="Q54" s="32"/>
      <c r="R54" s="32"/>
      <c r="S54" s="32"/>
    </row>
    <row r="55" spans="2:19" s="26" customFormat="1" ht="99.75" customHeight="1">
      <c r="B55" s="91">
        <f t="shared" si="0"/>
        <v>41</v>
      </c>
      <c r="C55" s="92" t="str">
        <f>+IFERROR(INDEX(Hoja1!$A$2:$A$82,MATCH(J55,Hoja1!$H$2:$H$82,0)),"")</f>
        <v>9.5</v>
      </c>
      <c r="D55" s="93" t="str">
        <f>IFERROR(VLOOKUP(C55,Hoja1!$A$2:$H$82,4,0),"")</f>
        <v>Evaluación de riesgos</v>
      </c>
      <c r="E55" s="93" t="str">
        <f>+IFERROR(VLOOKUP(C55,Hoja1!$A$1:$J$82,10,0),"")</f>
        <v xml:space="preserve">Identificación y análisis de cambios significativos </v>
      </c>
      <c r="F55" s="93" t="str">
        <f>+IFERROR(VLOOKUP(C55,Hoja1!$A$1:$I$82,3,0),"")</f>
        <v xml:space="preserve"> La entidad analiza el impacto sobre el control interno por cambios en los diferentes niveles organizacionales</v>
      </c>
      <c r="G55" s="92">
        <f>+IFERROR(VLOOKUP(C55,Hoja1!$A$1:$K$82,11,0),"")</f>
        <v>3</v>
      </c>
      <c r="H55" s="94">
        <f>+IFERROR(VLOOKUP(C55,Hoja1!$A$1:$L$82,12,0),"")</f>
        <v>3</v>
      </c>
      <c r="I55" s="85" t="str">
        <f t="shared" si="1"/>
        <v>Se encuentra presente y funciona correctamente, por lo tanto se requiere acciones o actividades  dirigidas a su mantenimiento dentro del marco de las lineas de defensa.</v>
      </c>
      <c r="J55" s="47">
        <v>41</v>
      </c>
      <c r="K55" s="83">
        <f>+VLOOKUP(C55,Hoja1!$A$1:$M$82,13,0)</f>
        <v>1</v>
      </c>
      <c r="L55" s="591"/>
      <c r="M55" s="44"/>
      <c r="N55" s="32"/>
      <c r="O55" s="32"/>
      <c r="P55" s="32"/>
      <c r="Q55" s="32"/>
      <c r="R55" s="32"/>
      <c r="S55" s="32"/>
    </row>
    <row r="56" spans="2:19" s="26" customFormat="1" ht="99.75" customHeight="1">
      <c r="B56" s="95">
        <f t="shared" si="0"/>
        <v>42</v>
      </c>
      <c r="C56" s="92" t="str">
        <f>+IFERROR(INDEX(Hoja1!$A$2:$A$82,MATCH(J56,Hoja1!$H$2:$H$82,0)),"")</f>
        <v>10.3</v>
      </c>
      <c r="D56" s="93" t="str">
        <f>IFERROR(VLOOKUP(C56,Hoja1!$A$2:$H$82,4,0),"")</f>
        <v>Actividades de control</v>
      </c>
      <c r="E56" s="93" t="str">
        <f>+IFERROR(VLOOKUP(C56,Hoja1!$A$1:$J$82,10,0),"")</f>
        <v>Diseño y desarrollo de actividades de control (Integra el desarrollo de controles con la evaluación de riesgos; tiene en cuenta a qué nivel se aplican las actividades; facilita la segregación de funciones).</v>
      </c>
      <c r="F56" s="93" t="str">
        <f>+IFERROR(VLOOKUP(C56,Hoja1!$A$1:$I$82,3,0),"")</f>
        <v xml:space="preserve"> El diseño de otros  sistemas de gestión (bajo normas o estándares internacionales como la ISO), se intregan de forma adecuada a la estructura de control de la entidad</v>
      </c>
      <c r="G56" s="92">
        <f>+IFERROR(VLOOKUP(C56,Hoja1!$A$1:$K$82,11,0),"")</f>
        <v>3</v>
      </c>
      <c r="H56" s="94">
        <f>+IFERROR(VLOOKUP(C56,Hoja1!$A$1:$L$82,12,0),"")</f>
        <v>2</v>
      </c>
      <c r="I56" s="85" t="str">
        <f t="shared" si="1"/>
        <v>Se encuentra presente y funcionando, pero requiere acciones dirigidas a fortalecer  o mejorar su diseño y/o ejecucion.</v>
      </c>
      <c r="J56" s="47">
        <v>42</v>
      </c>
      <c r="K56" s="83">
        <f>+VLOOKUP(C56,Hoja1!$A$1:$M$82,13,0)</f>
        <v>0.5</v>
      </c>
      <c r="L56" s="591">
        <f>+AVERAGE(K56:K67)</f>
        <v>0.79166666666666663</v>
      </c>
      <c r="M56" s="44"/>
      <c r="N56" s="32"/>
      <c r="O56" s="32"/>
      <c r="P56" s="32"/>
      <c r="Q56" s="32"/>
      <c r="R56" s="32"/>
      <c r="S56" s="32"/>
    </row>
    <row r="57" spans="2:19" s="26" customFormat="1" ht="99.75" customHeight="1">
      <c r="B57" s="91">
        <f t="shared" si="0"/>
        <v>43</v>
      </c>
      <c r="C57" s="92" t="str">
        <f>+IFERROR(INDEX(Hoja1!$A$2:$A$82,MATCH(J57,Hoja1!$H$2:$H$82,0)),"")</f>
        <v>11.4</v>
      </c>
      <c r="D57" s="93" t="str">
        <f>IFERROR(VLOOKUP(C57,Hoja1!$A$2:$H$82,4,0),"")</f>
        <v>Actividades de control</v>
      </c>
      <c r="E57" s="93" t="str">
        <f>+IFERROR(VLOOKUP(C57,Hoja1!$A$1:$J$82,10,0),"")</f>
        <v>Seleccionar y Desarrolla controles generales sobre TI para apoyar la consecución de los objetivos .</v>
      </c>
      <c r="F57" s="93" t="str">
        <f>+IFERROR(VLOOKUP(C57,Hoja1!$A$1:$I$82,3,0),"")</f>
        <v xml:space="preserve"> Se cuenta con información de la 3a línea de defensa, como evaluador independiente en relación con los controles implementados por el proveedor de servicios, para  asegurar que los riesgos relacionados se mitigan.</v>
      </c>
      <c r="G57" s="92">
        <f>+IFERROR(VLOOKUP(C57,Hoja1!$A$1:$K$82,11,0),"")</f>
        <v>3</v>
      </c>
      <c r="H57" s="94">
        <f>+IFERROR(VLOOKUP(C57,Hoja1!$A$1:$L$82,12,0),"")</f>
        <v>2</v>
      </c>
      <c r="I57" s="85" t="str">
        <f t="shared" si="1"/>
        <v>Se encuentra presente y funcionando, pero requiere acciones dirigidas a fortalecer  o mejorar su diseño y/o ejecucion.</v>
      </c>
      <c r="J57" s="47">
        <v>43</v>
      </c>
      <c r="K57" s="83">
        <f>+VLOOKUP(C57,Hoja1!$A$1:$M$82,13,0)</f>
        <v>0.5</v>
      </c>
      <c r="L57" s="591"/>
      <c r="M57" s="44"/>
      <c r="N57" s="32"/>
      <c r="O57" s="32"/>
      <c r="P57" s="32"/>
      <c r="Q57" s="32"/>
      <c r="R57" s="32"/>
      <c r="S57" s="32"/>
    </row>
    <row r="58" spans="2:19" s="26" customFormat="1" ht="99.75" customHeight="1">
      <c r="B58" s="91">
        <f t="shared" si="0"/>
        <v>44</v>
      </c>
      <c r="C58" s="92" t="str">
        <f>+IFERROR(INDEX(Hoja1!$A$2:$A$82,MATCH(J58,Hoja1!$H$2:$H$82,0)),"")</f>
        <v>12.1</v>
      </c>
      <c r="D58" s="93" t="str">
        <f>IFERROR(VLOOKUP(C58,Hoja1!$A$2:$H$82,4,0),"")</f>
        <v>Actividades de control</v>
      </c>
      <c r="E58" s="93" t="str">
        <f>+IFERROR(VLOOKUP(C58,Hoja1!$A$1:$J$82,10,0),"")</f>
        <v>Despliegue de políticas y procedimientos (Establece responsabilidades sobre la ejecución de las políticas y procedimientos; Adopta medidas correctivas; Revisa las políticas y procedimientos).</v>
      </c>
      <c r="F58" s="93" t="str">
        <f>+IFERROR(VLOOKUP(C58,Hoja1!$A$1:$I$82,3,0),"")</f>
        <v xml:space="preserve"> Se evalúa la actualización de procesos, procedimientos, políticas de operación, instructivos, manuales u otras herramientas para garantizar la aplicación adecuada de las principales actividades de control.
</v>
      </c>
      <c r="G58" s="92">
        <f>+IFERROR(VLOOKUP(C58,Hoja1!$A$1:$K$82,11,0),"")</f>
        <v>3</v>
      </c>
      <c r="H58" s="94">
        <f>+IFERROR(VLOOKUP(C58,Hoja1!$A$1:$L$82,12,0),"")</f>
        <v>2</v>
      </c>
      <c r="I58" s="85" t="str">
        <f t="shared" si="1"/>
        <v>Se encuentra presente y funcionando, pero requiere acciones dirigidas a fortalecer  o mejorar su diseño y/o ejecucion.</v>
      </c>
      <c r="J58" s="47">
        <v>44</v>
      </c>
      <c r="K58" s="83">
        <f>+VLOOKUP(C58,Hoja1!$A$1:$M$82,13,0)</f>
        <v>0.5</v>
      </c>
      <c r="L58" s="591"/>
      <c r="M58" s="44"/>
      <c r="N58" s="32"/>
      <c r="O58" s="32"/>
      <c r="P58" s="32"/>
      <c r="Q58" s="32"/>
      <c r="R58" s="32"/>
      <c r="S58" s="32"/>
    </row>
    <row r="59" spans="2:19" s="26" customFormat="1" ht="99.75" customHeight="1">
      <c r="B59" s="91">
        <f t="shared" si="0"/>
        <v>45</v>
      </c>
      <c r="C59" s="92" t="str">
        <f>+IFERROR(INDEX(Hoja1!$A$2:$A$82,MATCH(J59,Hoja1!$H$2:$H$82,0)),"")</f>
        <v>12.3</v>
      </c>
      <c r="D59" s="93" t="str">
        <f>IFERROR(VLOOKUP(C59,Hoja1!$A$2:$H$82,4,0),"")</f>
        <v>Actividades de control</v>
      </c>
      <c r="E59" s="93" t="str">
        <f>+IFERROR(VLOOKUP(C59,Hoja1!$A$1:$J$82,10,0),"")</f>
        <v>Despliegue de políticas y procedimientos (Establece responsabilidades sobre la ejecución de las políticas y procedimientos; Adopta medidas correctivas; Revisa las políticas y procedimientos).</v>
      </c>
      <c r="F59" s="93" t="str">
        <f>+IFERROR(VLOOKUP(C59,Hoja1!$A$1:$I$82,3,0),"")</f>
        <v xml:space="preserve"> Monitoreo a los riesgos acorde con la política de administración de riesgo establecida para la entidad.</v>
      </c>
      <c r="G59" s="92">
        <f>+IFERROR(VLOOKUP(C59,Hoja1!$A$1:$K$82,11,0),"")</f>
        <v>3</v>
      </c>
      <c r="H59" s="94">
        <f>+IFERROR(VLOOKUP(C59,Hoja1!$A$1:$L$82,12,0),"")</f>
        <v>2</v>
      </c>
      <c r="I59" s="85" t="str">
        <f t="shared" si="1"/>
        <v>Se encuentra presente y funcionando, pero requiere acciones dirigidas a fortalecer  o mejorar su diseño y/o ejecucion.</v>
      </c>
      <c r="J59" s="47">
        <v>45</v>
      </c>
      <c r="K59" s="83">
        <f>+VLOOKUP(C59,Hoja1!$A$1:$M$82,13,0)</f>
        <v>0.5</v>
      </c>
      <c r="L59" s="591"/>
      <c r="M59" s="44"/>
      <c r="N59" s="32"/>
      <c r="O59" s="32"/>
      <c r="P59" s="32"/>
      <c r="Q59" s="32"/>
      <c r="R59" s="32"/>
      <c r="S59" s="32"/>
    </row>
    <row r="60" spans="2:19" s="26" customFormat="1" ht="99.75" customHeight="1">
      <c r="B60" s="95">
        <f t="shared" si="0"/>
        <v>46</v>
      </c>
      <c r="C60" s="92" t="str">
        <f>+IFERROR(INDEX(Hoja1!$A$2:$A$82,MATCH(J60,Hoja1!$H$2:$H$82,0)),"")</f>
        <v>12.4</v>
      </c>
      <c r="D60" s="93" t="str">
        <f>IFERROR(VLOOKUP(C60,Hoja1!$A$2:$H$82,4,0),"")</f>
        <v>Actividades de control</v>
      </c>
      <c r="E60" s="93" t="str">
        <f>+IFERROR(VLOOKUP(C60,Hoja1!$A$1:$J$82,10,0),"")</f>
        <v>Despliegue de políticas y procedimientos (Establece responsabilidades sobre la ejecución de las políticas y procedimientos; Adopta medidas correctivas; Revisa las políticas y procedimientos).</v>
      </c>
      <c r="F60" s="93" t="str">
        <f>+IFERROR(VLOOKUP(C60,Hoja1!$A$1:$I$82,3,0),"")</f>
        <v>Verificación de que los responsables estén ejecutando los controles tal como han sido diseñados</v>
      </c>
      <c r="G60" s="92">
        <f>+IFERROR(VLOOKUP(C60,Hoja1!$A$1:$K$82,11,0),"")</f>
        <v>3</v>
      </c>
      <c r="H60" s="94">
        <f>+IFERROR(VLOOKUP(C60,Hoja1!$A$1:$L$82,12,0),"")</f>
        <v>2</v>
      </c>
      <c r="I60" s="85" t="str">
        <f t="shared" si="1"/>
        <v>Se encuentra presente y funcionando, pero requiere acciones dirigidas a fortalecer  o mejorar su diseño y/o ejecucion.</v>
      </c>
      <c r="J60" s="47">
        <v>46</v>
      </c>
      <c r="K60" s="83">
        <f>+VLOOKUP(C60,Hoja1!$A$1:$M$82,13,0)</f>
        <v>0.5</v>
      </c>
      <c r="L60" s="591"/>
      <c r="M60" s="44"/>
      <c r="N60" s="32"/>
      <c r="O60" s="32"/>
      <c r="P60" s="32"/>
      <c r="Q60" s="32"/>
      <c r="R60" s="32"/>
      <c r="S60" s="32"/>
    </row>
    <row r="61" spans="2:19" s="26" customFormat="1" ht="99.75" customHeight="1">
      <c r="B61" s="91">
        <f t="shared" si="0"/>
        <v>47</v>
      </c>
      <c r="C61" s="92" t="str">
        <f>+IFERROR(INDEX(Hoja1!$A$2:$A$82,MATCH(J61,Hoja1!$H$2:$H$82,0)),"")</f>
        <v>10.1</v>
      </c>
      <c r="D61" s="93" t="str">
        <f>IFERROR(VLOOKUP(C61,Hoja1!$A$2:$H$82,4,0),"")</f>
        <v>Actividades de control</v>
      </c>
      <c r="E61" s="93" t="str">
        <f>+IFERROR(VLOOKUP(C61,Hoja1!$A$1:$J$82,10,0),"")</f>
        <v>Diseño y desarrollo de actividades de control (Integra el desarrollo de controles con la evaluación de riesgos; tiene en cuenta a qué nivel se aplican las actividades; facilita la segregación de funciones).</v>
      </c>
      <c r="F61" s="93" t="str">
        <f>+IFERROR(VLOOKUP(C61,Hoja1!$A$1:$I$82,3,0),"")</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G61" s="92">
        <f>+IFERROR(VLOOKUP(C61,Hoja1!$A$1:$K$82,11,0),"")</f>
        <v>3</v>
      </c>
      <c r="H61" s="94">
        <f>+IFERROR(VLOOKUP(C61,Hoja1!$A$1:$L$82,12,0),"")</f>
        <v>3</v>
      </c>
      <c r="I61" s="85" t="str">
        <f t="shared" si="1"/>
        <v>Se encuentra presente y funciona correctamente, por lo tanto se requiere acciones o actividades  dirigidas a su mantenimiento dentro del marco de las lineas de defensa.</v>
      </c>
      <c r="J61" s="47">
        <v>47</v>
      </c>
      <c r="K61" s="83">
        <f>+VLOOKUP(C61,Hoja1!$A$1:$M$82,13,0)</f>
        <v>1</v>
      </c>
      <c r="L61" s="591"/>
      <c r="M61" s="44"/>
      <c r="N61" s="32"/>
      <c r="O61" s="32"/>
      <c r="P61" s="32"/>
      <c r="Q61" s="32"/>
      <c r="R61" s="32"/>
      <c r="S61" s="32"/>
    </row>
    <row r="62" spans="2:19" s="26" customFormat="1" ht="99.75" customHeight="1">
      <c r="B62" s="95">
        <f t="shared" si="0"/>
        <v>48</v>
      </c>
      <c r="C62" s="92" t="str">
        <f>+IFERROR(INDEX(Hoja1!$A$2:$A$82,MATCH(J62,Hoja1!$H$2:$H$82,0)),"")</f>
        <v>10.2</v>
      </c>
      <c r="D62" s="93" t="str">
        <f>IFERROR(VLOOKUP(C62,Hoja1!$A$2:$H$82,4,0),"")</f>
        <v>Actividades de control</v>
      </c>
      <c r="E62" s="93" t="str">
        <f>+IFERROR(VLOOKUP(C62,Hoja1!$A$1:$J$82,10,0),"")</f>
        <v>Diseño y desarrollo de actividades de control (Integra el desarrollo de controles con la evaluación de riesgos; tiene en cuenta a qué nivel se aplican las actividades; facilita la segregación de funciones).</v>
      </c>
      <c r="F62" s="93" t="str">
        <f>+IFERROR(VLOOKUP(C62,Hoja1!$A$1:$I$82,3,0),"")</f>
        <v xml:space="preserve"> Se han idenfificado y documentado las situaciones específicas en donde no es posible segregar adecuadamente las funciones (ej: falta de personal, presupuesto), con el fin de definir actividades de control alternativas para cubrir los riesgos identificados.</v>
      </c>
      <c r="G62" s="92">
        <f>+IFERROR(VLOOKUP(C62,Hoja1!$A$1:$K$82,11,0),"")</f>
        <v>3</v>
      </c>
      <c r="H62" s="94">
        <f>+IFERROR(VLOOKUP(C62,Hoja1!$A$1:$L$82,12,0),"")</f>
        <v>3</v>
      </c>
      <c r="I62" s="85" t="str">
        <f t="shared" si="1"/>
        <v>Se encuentra presente y funciona correctamente, por lo tanto se requiere acciones o actividades  dirigidas a su mantenimiento dentro del marco de las lineas de defensa.</v>
      </c>
      <c r="J62" s="47">
        <v>48</v>
      </c>
      <c r="K62" s="83">
        <f>+VLOOKUP(C62,Hoja1!$A$1:$M$82,13,0)</f>
        <v>1</v>
      </c>
      <c r="L62" s="591"/>
      <c r="M62" s="44"/>
      <c r="N62" s="32"/>
      <c r="O62" s="32"/>
      <c r="P62" s="32"/>
      <c r="Q62" s="32"/>
      <c r="R62" s="32"/>
      <c r="S62" s="32"/>
    </row>
    <row r="63" spans="2:19" s="26" customFormat="1" ht="99.75" customHeight="1">
      <c r="B63" s="91">
        <f t="shared" si="0"/>
        <v>49</v>
      </c>
      <c r="C63" s="92" t="str">
        <f>+IFERROR(INDEX(Hoja1!$A$2:$A$82,MATCH(J63,Hoja1!$H$2:$H$82,0)),"")</f>
        <v>11.1</v>
      </c>
      <c r="D63" s="93" t="str">
        <f>IFERROR(VLOOKUP(C63,Hoja1!$A$2:$H$82,4,0),"")</f>
        <v>Actividades de control</v>
      </c>
      <c r="E63" s="93" t="str">
        <f>+IFERROR(VLOOKUP(C63,Hoja1!$A$1:$J$82,10,0),"")</f>
        <v>Seleccionar y Desarrolla controles generales sobre TI para apoyar la consecución de los objetivos .</v>
      </c>
      <c r="F63" s="93" t="str">
        <f>+IFERROR(VLOOKUP(C63,Hoja1!$A$1:$I$82,3,0),"")</f>
        <v xml:space="preserve"> La entidad establece actividades de control relevantes sobre las infraestructuras tecnológicas; los procesos de gestión de la seguridad y sobre los procesos de adquisición, desarrollo y mantenimiento de tecnologías</v>
      </c>
      <c r="G63" s="92">
        <f>+IFERROR(VLOOKUP(C63,Hoja1!$A$1:$K$82,11,0),"")</f>
        <v>3</v>
      </c>
      <c r="H63" s="94">
        <f>+IFERROR(VLOOKUP(C63,Hoja1!$A$1:$L$82,12,0),"")</f>
        <v>3</v>
      </c>
      <c r="I63" s="85" t="str">
        <f t="shared" si="1"/>
        <v>Se encuentra presente y funciona correctamente, por lo tanto se requiere acciones o actividades  dirigidas a su mantenimiento dentro del marco de las lineas de defensa.</v>
      </c>
      <c r="J63" s="47">
        <v>49</v>
      </c>
      <c r="K63" s="83">
        <f>+VLOOKUP(C63,Hoja1!$A$1:$M$82,13,0)</f>
        <v>1</v>
      </c>
      <c r="L63" s="591"/>
      <c r="M63" s="44"/>
      <c r="N63" s="32"/>
      <c r="O63" s="32"/>
      <c r="P63" s="32"/>
      <c r="Q63" s="32"/>
      <c r="R63" s="32"/>
      <c r="S63" s="32"/>
    </row>
    <row r="64" spans="2:19" s="26" customFormat="1" ht="99.75" customHeight="1">
      <c r="B64" s="91">
        <f t="shared" si="0"/>
        <v>50</v>
      </c>
      <c r="C64" s="92" t="str">
        <f>+IFERROR(INDEX(Hoja1!$A$2:$A$82,MATCH(J64,Hoja1!$H$2:$H$82,0)),"")</f>
        <v>11.2</v>
      </c>
      <c r="D64" s="93" t="str">
        <f>IFERROR(VLOOKUP(C64,Hoja1!$A$2:$H$82,4,0),"")</f>
        <v>Actividades de control</v>
      </c>
      <c r="E64" s="93" t="str">
        <f>+IFERROR(VLOOKUP(C64,Hoja1!$A$1:$J$82,10,0),"")</f>
        <v>Seleccionar y Desarrolla controles generales sobre TI para apoyar la consecución de los objetivos .</v>
      </c>
      <c r="F64" s="93" t="str">
        <f>+IFERROR(VLOOKUP(C64,Hoja1!$A$1:$I$82,3,0),"")</f>
        <v xml:space="preserve">  Para los proveedores de tecnología  selecciona y desarrolla actividades de control internas sobre las actividades realizadas por el proveedor de servicios</v>
      </c>
      <c r="G64" s="92">
        <f>+IFERROR(VLOOKUP(C64,Hoja1!$A$1:$K$82,11,0),"")</f>
        <v>3</v>
      </c>
      <c r="H64" s="94">
        <f>+IFERROR(VLOOKUP(C64,Hoja1!$A$1:$L$82,12,0),"")</f>
        <v>3</v>
      </c>
      <c r="I64" s="85" t="str">
        <f t="shared" si="1"/>
        <v>Se encuentra presente y funciona correctamente, por lo tanto se requiere acciones o actividades  dirigidas a su mantenimiento dentro del marco de las lineas de defensa.</v>
      </c>
      <c r="J64" s="47">
        <v>50</v>
      </c>
      <c r="K64" s="83">
        <f>+VLOOKUP(C64,Hoja1!$A$1:$M$82,13,0)</f>
        <v>1</v>
      </c>
      <c r="L64" s="591"/>
      <c r="M64" s="44"/>
      <c r="N64" s="32"/>
      <c r="O64" s="32"/>
      <c r="P64" s="32"/>
      <c r="Q64" s="32"/>
      <c r="R64" s="32"/>
      <c r="S64" s="32"/>
    </row>
    <row r="65" spans="2:19" s="26" customFormat="1" ht="99.75" customHeight="1">
      <c r="B65" s="91">
        <f t="shared" si="0"/>
        <v>51</v>
      </c>
      <c r="C65" s="92" t="str">
        <f>+IFERROR(INDEX(Hoja1!$A$2:$A$82,MATCH(J65,Hoja1!$H$2:$H$82,0)),"")</f>
        <v>11.3</v>
      </c>
      <c r="D65" s="93" t="str">
        <f>IFERROR(VLOOKUP(C65,Hoja1!$A$2:$H$82,4,0),"")</f>
        <v>Actividades de control</v>
      </c>
      <c r="E65" s="93" t="str">
        <f>+IFERROR(VLOOKUP(C65,Hoja1!$A$1:$J$82,10,0),"")</f>
        <v>Seleccionar y Desarrolla controles generales sobre TI para apoyar la consecución de los objetivos .</v>
      </c>
      <c r="F65" s="93" t="str">
        <f>+IFERROR(VLOOKUP(C65,Hoja1!$A$1:$I$82,3,0),"")</f>
        <v xml:space="preserve"> Se cuenta con matrices de roles y usuarios siguiendo los principios de segregación de funciones.</v>
      </c>
      <c r="G65" s="92">
        <f>+IFERROR(VLOOKUP(C65,Hoja1!$A$1:$K$82,11,0),"")</f>
        <v>3</v>
      </c>
      <c r="H65" s="94">
        <f>+IFERROR(VLOOKUP(C65,Hoja1!$A$1:$L$82,12,0),"")</f>
        <v>3</v>
      </c>
      <c r="I65" s="85" t="str">
        <f t="shared" si="1"/>
        <v>Se encuentra presente y funciona correctamente, por lo tanto se requiere acciones o actividades  dirigidas a su mantenimiento dentro del marco de las lineas de defensa.</v>
      </c>
      <c r="J65" s="47">
        <v>51</v>
      </c>
      <c r="K65" s="83">
        <f>+VLOOKUP(C65,Hoja1!$A$1:$M$82,13,0)</f>
        <v>1</v>
      </c>
      <c r="L65" s="591"/>
      <c r="M65" s="44"/>
      <c r="N65" s="32"/>
      <c r="O65" s="32"/>
      <c r="P65" s="32"/>
      <c r="Q65" s="32"/>
      <c r="R65" s="32"/>
      <c r="S65" s="32"/>
    </row>
    <row r="66" spans="2:19" s="26" customFormat="1" ht="99.75" customHeight="1">
      <c r="B66" s="95">
        <f t="shared" si="0"/>
        <v>52</v>
      </c>
      <c r="C66" s="92" t="str">
        <f>+IFERROR(INDEX(Hoja1!$A$2:$A$82,MATCH(J66,Hoja1!$H$2:$H$82,0)),"")</f>
        <v>12.2</v>
      </c>
      <c r="D66" s="93" t="str">
        <f>IFERROR(VLOOKUP(C66,Hoja1!$A$2:$H$82,4,0),"")</f>
        <v>Actividades de control</v>
      </c>
      <c r="E66" s="93" t="str">
        <f>+IFERROR(VLOOKUP(C66,Hoja1!$A$1:$J$82,10,0),"")</f>
        <v>Despliegue de políticas y procedimientos (Establece responsabilidades sobre la ejecución de las políticas y procedimientos; Adopta medidas correctivas; Revisa las políticas y procedimientos).</v>
      </c>
      <c r="F66" s="93" t="str">
        <f>+IFERROR(VLOOKUP(C66,Hoja1!$A$1:$I$82,3,0),"")</f>
        <v xml:space="preserve"> El diseño de controles se evalúa frente a la gestión del riesgo</v>
      </c>
      <c r="G66" s="92">
        <f>+IFERROR(VLOOKUP(C66,Hoja1!$A$1:$K$82,11,0),"")</f>
        <v>3</v>
      </c>
      <c r="H66" s="94">
        <f>+IFERROR(VLOOKUP(C66,Hoja1!$A$1:$L$82,12,0),"")</f>
        <v>3</v>
      </c>
      <c r="I66" s="85" t="str">
        <f t="shared" si="1"/>
        <v>Se encuentra presente y funciona correctamente, por lo tanto se requiere acciones o actividades  dirigidas a su mantenimiento dentro del marco de las lineas de defensa.</v>
      </c>
      <c r="J66" s="47">
        <v>52</v>
      </c>
      <c r="K66" s="83">
        <f>+VLOOKUP(C66,Hoja1!$A$1:$M$82,13,0)</f>
        <v>1</v>
      </c>
      <c r="L66" s="591"/>
      <c r="M66" s="44"/>
      <c r="N66" s="32"/>
      <c r="O66" s="32"/>
      <c r="P66" s="32"/>
      <c r="Q66" s="32"/>
      <c r="R66" s="32"/>
      <c r="S66" s="32"/>
    </row>
    <row r="67" spans="2:19" s="26" customFormat="1" ht="99.75" customHeight="1">
      <c r="B67" s="91">
        <f t="shared" si="0"/>
        <v>53</v>
      </c>
      <c r="C67" s="92" t="str">
        <f>+IFERROR(INDEX(Hoja1!$A$2:$A$82,MATCH(J67,Hoja1!$H$2:$H$82,0)),"")</f>
        <v>12.5</v>
      </c>
      <c r="D67" s="93" t="str">
        <f>IFERROR(VLOOKUP(C67,Hoja1!$A$2:$H$82,4,0),"")</f>
        <v>Actividades de control</v>
      </c>
      <c r="E67" s="93" t="str">
        <f>+IFERROR(VLOOKUP(C67,Hoja1!$A$1:$J$82,10,0),"")</f>
        <v>Despliegue de políticas y procedimientos (Establece responsabilidades sobre la ejecución de las políticas y procedimientos; Adopta medidas correctivas; Revisa las políticas y procedimientos).</v>
      </c>
      <c r="F67" s="93" t="str">
        <f>+IFERROR(VLOOKUP(C67,Hoja1!$A$1:$I$82,3,0),"")</f>
        <v xml:space="preserve"> Se evalúa la adecuación de los controles a las especificidades de cada proceso, considerando cambios en regulaciones, estructuras internas u otros aspectos que determinen cambios en su diseño</v>
      </c>
      <c r="G67" s="92">
        <f>+IFERROR(VLOOKUP(C67,Hoja1!$A$1:$K$82,11,0),"")</f>
        <v>3</v>
      </c>
      <c r="H67" s="94">
        <f>+IFERROR(VLOOKUP(C67,Hoja1!$A$1:$L$82,12,0),"")</f>
        <v>3</v>
      </c>
      <c r="I67" s="85" t="str">
        <f t="shared" si="1"/>
        <v>Se encuentra presente y funciona correctamente, por lo tanto se requiere acciones o actividades  dirigidas a su mantenimiento dentro del marco de las lineas de defensa.</v>
      </c>
      <c r="J67" s="47">
        <v>53</v>
      </c>
      <c r="K67" s="83">
        <f>+VLOOKUP(C67,Hoja1!$A$1:$M$82,13,0)</f>
        <v>1</v>
      </c>
      <c r="L67" s="591"/>
      <c r="M67" s="44"/>
      <c r="N67" s="32"/>
      <c r="O67" s="32"/>
      <c r="P67" s="32"/>
      <c r="Q67" s="32"/>
      <c r="R67" s="32"/>
      <c r="S67" s="32"/>
    </row>
    <row r="68" spans="2:19" s="26" customFormat="1" ht="99.75" customHeight="1">
      <c r="B68" s="95">
        <f t="shared" si="0"/>
        <v>54</v>
      </c>
      <c r="C68" s="92" t="str">
        <f>+IFERROR(INDEX(Hoja1!$A$2:$A$82,MATCH(J68,Hoja1!$H$2:$H$82,0)),"")</f>
        <v>14.1</v>
      </c>
      <c r="D68" s="93" t="str">
        <f>IFERROR(VLOOKUP(C68,Hoja1!$A$2:$H$82,4,0),"")</f>
        <v>Info y Comunicación</v>
      </c>
      <c r="E68" s="93" t="str">
        <f>+IFERROR(VLOOKUP(C68,Hoja1!$A$1:$J$82,10,0),"")</f>
        <v>Comunicación Interna (Se comunica con el Comité Institucional de Coordinación de Control Interno o su equivalente; Facilita líneas de comunicación en todos los niveles; Selecciona el método de comunicación pertinente).</v>
      </c>
      <c r="F68" s="93" t="str">
        <f>+IFERROR(VLOOKUP(C68,Hoja1!$A$1:$I$82,3,0),"")</f>
        <v>Para la comunicación interna la Alta Dirección tiene mecanismos que permitan dar a conocer los objetivos y metas estratégicas, de manera tal que todo el personal entiende su papel en su consecución. (Considera los canales más apropiados y evalúa su efectividad)</v>
      </c>
      <c r="G68" s="92">
        <f>+IFERROR(VLOOKUP(C68,Hoja1!$A$1:$K$82,11,0),"")</f>
        <v>3</v>
      </c>
      <c r="H68" s="94">
        <f>+IFERROR(VLOOKUP(C68,Hoja1!$A$1:$L$82,12,0),"")</f>
        <v>2</v>
      </c>
      <c r="I68" s="85" t="str">
        <f t="shared" si="1"/>
        <v>Se encuentra presente y funcionando, pero requiere acciones dirigidas a fortalecer  o mejorar su diseño y/o ejecucion.</v>
      </c>
      <c r="J68" s="47">
        <v>54</v>
      </c>
      <c r="K68" s="83">
        <f>+VLOOKUP(C68,Hoja1!$A$1:$M$82,13,0)</f>
        <v>0.5</v>
      </c>
      <c r="L68" s="591">
        <f>+AVERAGE(K68:K81)</f>
        <v>0.75</v>
      </c>
      <c r="M68" s="44"/>
      <c r="N68" s="32"/>
      <c r="O68" s="32"/>
      <c r="P68" s="32"/>
      <c r="Q68" s="32"/>
      <c r="R68" s="32"/>
      <c r="S68" s="32"/>
    </row>
    <row r="69" spans="2:19" s="26" customFormat="1" ht="99.75" customHeight="1">
      <c r="B69" s="91">
        <f t="shared" si="0"/>
        <v>55</v>
      </c>
      <c r="C69" s="92" t="str">
        <f>+IFERROR(INDEX(Hoja1!$A$2:$A$82,MATCH(J69,Hoja1!$H$2:$H$82,0)),"")</f>
        <v>14.2</v>
      </c>
      <c r="D69" s="93" t="str">
        <f>IFERROR(VLOOKUP(C69,Hoja1!$A$2:$H$82,4,0),"")</f>
        <v>Info y Comunicación</v>
      </c>
      <c r="E69" s="93" t="str">
        <f>+IFERROR(VLOOKUP(C69,Hoja1!$A$1:$J$82,10,0),"")</f>
        <v>Comunicación Interna (Se comunica con el Comité Institucional de Coordinación de Control Interno o su equivalente; Facilita líneas de comunicación en todos los niveles; Selecciona el método de comunicación pertinente).</v>
      </c>
      <c r="F69" s="93" t="str">
        <f>+IFERROR(VLOOKUP(C69,Hoja1!$A$1:$I$82,3,0),"")</f>
        <v>La entidad cuenta con políticas de operación relacionadas con la administración de la información (niveles de autoridad y responsabilidad</v>
      </c>
      <c r="G69" s="92">
        <f>+IFERROR(VLOOKUP(C69,Hoja1!$A$1:$K$82,11,0),"")</f>
        <v>3</v>
      </c>
      <c r="H69" s="94">
        <f>+IFERROR(VLOOKUP(C69,Hoja1!$A$1:$L$82,12,0),"")</f>
        <v>2</v>
      </c>
      <c r="I69" s="85" t="str">
        <f t="shared" si="1"/>
        <v>Se encuentra presente y funcionando, pero requiere acciones dirigidas a fortalecer  o mejorar su diseño y/o ejecucion.</v>
      </c>
      <c r="J69" s="47">
        <v>55</v>
      </c>
      <c r="K69" s="83">
        <f>+VLOOKUP(C69,Hoja1!$A$1:$M$82,13,0)</f>
        <v>0.5</v>
      </c>
      <c r="L69" s="591"/>
      <c r="M69" s="44"/>
      <c r="N69" s="32"/>
      <c r="O69" s="32"/>
      <c r="P69" s="32"/>
      <c r="Q69" s="32"/>
      <c r="R69" s="32"/>
      <c r="S69" s="32"/>
    </row>
    <row r="70" spans="2:19" s="26" customFormat="1" ht="99.75" customHeight="1">
      <c r="B70" s="91">
        <f t="shared" si="0"/>
        <v>56</v>
      </c>
      <c r="C70" s="92" t="str">
        <f>+IFERROR(INDEX(Hoja1!$A$2:$A$82,MATCH(J70,Hoja1!$H$2:$H$82,0)),"")</f>
        <v>14.4</v>
      </c>
      <c r="D70" s="93" t="str">
        <f>IFERROR(VLOOKUP(C70,Hoja1!$A$2:$H$82,4,0),"")</f>
        <v>Info y Comunicación</v>
      </c>
      <c r="E70" s="93" t="str">
        <f>+IFERROR(VLOOKUP(C70,Hoja1!$A$1:$J$82,10,0),"")</f>
        <v>Comunicación Interna (Se comunica con el Comité Institucional de Coordinación de Control Interno o su equivalente; Facilita líneas de comunicación en todos los niveles; Selecciona el método de comunicación pertinente).</v>
      </c>
      <c r="F70" s="93" t="str">
        <f>+IFERROR(VLOOKUP(C70,Hoja1!$A$1:$I$82,3,0),"")</f>
        <v>La entidad establece e implementa políticas y procedimientos para facilitar una comunicación interna efectiva</v>
      </c>
      <c r="G70" s="92">
        <f>+IFERROR(VLOOKUP(C70,Hoja1!$A$1:$K$82,11,0),"")</f>
        <v>3</v>
      </c>
      <c r="H70" s="94">
        <f>+IFERROR(VLOOKUP(C70,Hoja1!$A$1:$L$82,12,0),"")</f>
        <v>2</v>
      </c>
      <c r="I70" s="85" t="str">
        <f t="shared" si="1"/>
        <v>Se encuentra presente y funcionando, pero requiere acciones dirigidas a fortalecer  o mejorar su diseño y/o ejecucion.</v>
      </c>
      <c r="J70" s="47">
        <v>56</v>
      </c>
      <c r="K70" s="83">
        <f>+VLOOKUP(C70,Hoja1!$A$1:$M$82,13,0)</f>
        <v>0.5</v>
      </c>
      <c r="L70" s="591"/>
      <c r="M70" s="44"/>
      <c r="N70" s="32"/>
      <c r="O70" s="32"/>
      <c r="P70" s="32"/>
      <c r="Q70" s="32"/>
      <c r="R70" s="32"/>
      <c r="S70" s="32"/>
    </row>
    <row r="71" spans="2:19" s="26" customFormat="1" ht="99.75" customHeight="1">
      <c r="B71" s="91">
        <f t="shared" si="0"/>
        <v>57</v>
      </c>
      <c r="C71" s="92" t="str">
        <f>+IFERROR(INDEX(Hoja1!$A$2:$A$82,MATCH(J71,Hoja1!$H$2:$H$82,0)),"")</f>
        <v>15.3</v>
      </c>
      <c r="D71" s="93" t="str">
        <f>IFERROR(VLOOKUP(C71,Hoja1!$A$2:$H$82,4,0),"")</f>
        <v>Info y Comunicación</v>
      </c>
      <c r="E71" s="93" t="str">
        <f>+IFERROR(VLOOKUP(C71,Hoja1!$A$1:$J$82,10,0),"")</f>
        <v>Comunicación con el exterior (Se comunica con los grupos de valor y con terceros externos interesados; Facilita líneas de comunicación).</v>
      </c>
      <c r="F71" s="93" t="str">
        <f>+IFERROR(VLOOKUP(C71,Hoja1!$A$1:$I$82,3,0),"")</f>
        <v>La entidad cuenta con procesos o procedimiento para el manejo de la información entrante (quién la recibe, quién la clasifica, quién la analiza), y a la respuesta requierida (quién la canaliza y la responde)</v>
      </c>
      <c r="G71" s="92">
        <f>+IFERROR(VLOOKUP(C71,Hoja1!$A$1:$K$82,11,0),"")</f>
        <v>3</v>
      </c>
      <c r="H71" s="94">
        <f>+IFERROR(VLOOKUP(C71,Hoja1!$A$1:$L$82,12,0),"")</f>
        <v>2</v>
      </c>
      <c r="I71" s="85" t="str">
        <f t="shared" si="1"/>
        <v>Se encuentra presente y funcionando, pero requiere acciones dirigidas a fortalecer  o mejorar su diseño y/o ejecucion.</v>
      </c>
      <c r="J71" s="47">
        <v>57</v>
      </c>
      <c r="K71" s="83">
        <f>+VLOOKUP(C71,Hoja1!$A$1:$M$82,13,0)</f>
        <v>0.5</v>
      </c>
      <c r="L71" s="591"/>
      <c r="M71" s="44"/>
      <c r="N71" s="32"/>
      <c r="O71" s="32"/>
      <c r="P71" s="32"/>
      <c r="Q71" s="32"/>
      <c r="R71" s="32"/>
      <c r="S71" s="32"/>
    </row>
    <row r="72" spans="2:19" s="26" customFormat="1" ht="99.75" customHeight="1">
      <c r="B72" s="95">
        <f t="shared" si="0"/>
        <v>58</v>
      </c>
      <c r="C72" s="92" t="str">
        <f>+IFERROR(INDEX(Hoja1!$A$2:$A$82,MATCH(J72,Hoja1!$H$2:$H$82,0)),"")</f>
        <v>15.4</v>
      </c>
      <c r="D72" s="93" t="str">
        <f>IFERROR(VLOOKUP(C72,Hoja1!$A$2:$H$82,4,0),"")</f>
        <v>Info y Comunicación</v>
      </c>
      <c r="E72" s="93" t="str">
        <f>+IFERROR(VLOOKUP(C72,Hoja1!$A$1:$J$82,10,0),"")</f>
        <v>Comunicación con el exterior (Se comunica con los grupos de valor y con terceros externos interesados; Facilita líneas de comunicación).</v>
      </c>
      <c r="F72" s="93" t="str">
        <f>+IFERROR(VLOOKUP(C72,Hoja1!$A$1:$I$82,3,0),"")</f>
        <v>La entidad cuenta con procesos o procedimientos encaminados a evaluar periodicamente la efectividad de los canales de comunicación con partes externas, así como sus contenidos, de tal forma que se puedan mejorar.</v>
      </c>
      <c r="G72" s="92">
        <f>+IFERROR(VLOOKUP(C72,Hoja1!$A$1:$K$82,11,0),"")</f>
        <v>3</v>
      </c>
      <c r="H72" s="94">
        <f>+IFERROR(VLOOKUP(C72,Hoja1!$A$1:$L$82,12,0),"")</f>
        <v>2</v>
      </c>
      <c r="I72" s="85" t="str">
        <f t="shared" si="1"/>
        <v>Se encuentra presente y funcionando, pero requiere acciones dirigidas a fortalecer  o mejorar su diseño y/o ejecucion.</v>
      </c>
      <c r="J72" s="47">
        <v>58</v>
      </c>
      <c r="K72" s="83">
        <f>+VLOOKUP(C72,Hoja1!$A$1:$M$82,13,0)</f>
        <v>0.5</v>
      </c>
      <c r="L72" s="591"/>
      <c r="M72" s="44"/>
      <c r="N72" s="32"/>
      <c r="O72" s="32"/>
      <c r="P72" s="32"/>
      <c r="Q72" s="32"/>
      <c r="R72" s="32"/>
      <c r="S72" s="32"/>
    </row>
    <row r="73" spans="2:19" s="26" customFormat="1" ht="99.75" customHeight="1">
      <c r="B73" s="91">
        <f t="shared" si="0"/>
        <v>59</v>
      </c>
      <c r="C73" s="92" t="str">
        <f>+IFERROR(INDEX(Hoja1!$A$2:$A$82,MATCH(J73,Hoja1!$H$2:$H$82,0)),"")</f>
        <v>15.5</v>
      </c>
      <c r="D73" s="93" t="str">
        <f>IFERROR(VLOOKUP(C73,Hoja1!$A$2:$H$82,4,0),"")</f>
        <v>Info y Comunicación</v>
      </c>
      <c r="E73" s="93" t="str">
        <f>+IFERROR(VLOOKUP(C73,Hoja1!$A$1:$J$82,10,0),"")</f>
        <v>Comunicación con el exterior (Se comunica con los grupos de valor y con terceros externos interesados; Facilita líneas de comunicación).</v>
      </c>
      <c r="F73" s="93" t="str">
        <f>+IFERROR(VLOOKUP(C73,Hoja1!$A$1:$I$82,3,0),"")</f>
        <v>La entidad analiza periodicamente su caracterización de usuarios o grupos de valor, a fin de actualizarla cuando sea pertinente</v>
      </c>
      <c r="G73" s="92">
        <f>+IFERROR(VLOOKUP(C73,Hoja1!$A$1:$K$82,11,0),"")</f>
        <v>3</v>
      </c>
      <c r="H73" s="94">
        <f>+IFERROR(VLOOKUP(C73,Hoja1!$A$1:$L$82,12,0),"")</f>
        <v>2</v>
      </c>
      <c r="I73" s="85" t="str">
        <f t="shared" si="1"/>
        <v>Se encuentra presente y funcionando, pero requiere acciones dirigidas a fortalecer  o mejorar su diseño y/o ejecucion.</v>
      </c>
      <c r="J73" s="47">
        <v>59</v>
      </c>
      <c r="K73" s="83">
        <f>+VLOOKUP(C73,Hoja1!$A$1:$M$82,13,0)</f>
        <v>0.5</v>
      </c>
      <c r="L73" s="591"/>
      <c r="M73" s="44"/>
      <c r="N73" s="32"/>
      <c r="O73" s="32"/>
      <c r="P73" s="32"/>
      <c r="Q73" s="32"/>
      <c r="R73" s="32"/>
      <c r="S73" s="32"/>
    </row>
    <row r="74" spans="2:19" s="26" customFormat="1" ht="99.75" customHeight="1">
      <c r="B74" s="95">
        <f t="shared" si="0"/>
        <v>60</v>
      </c>
      <c r="C74" s="92" t="str">
        <f>+IFERROR(INDEX(Hoja1!$A$2:$A$82,MATCH(J74,Hoja1!$H$2:$H$82,0)),"")</f>
        <v>15.6</v>
      </c>
      <c r="D74" s="93" t="str">
        <f>IFERROR(VLOOKUP(C74,Hoja1!$A$2:$H$82,4,0),"")</f>
        <v>Info y Comunicación</v>
      </c>
      <c r="E74" s="93" t="str">
        <f>+IFERROR(VLOOKUP(C74,Hoja1!$A$1:$J$82,10,0),"")</f>
        <v>Comunicación con el exterior (Se comunica con los grupos de valor y con terceros externos interesados; Facilita líneas de comunicación).</v>
      </c>
      <c r="F74" s="93" t="str">
        <f>+IFERROR(VLOOKUP(C74,Hoja1!$A$1:$I$82,3,0),"")</f>
        <v>La entidad analiza periodicamente los resultados frente a la evaluación de percepción por parte de los usuarios o grupos de valor para la incorporación de las mejoras correspondientes</v>
      </c>
      <c r="G74" s="92">
        <f>+IFERROR(VLOOKUP(C74,Hoja1!$A$1:$K$82,11,0),"")</f>
        <v>3</v>
      </c>
      <c r="H74" s="94">
        <f>+IFERROR(VLOOKUP(C74,Hoja1!$A$1:$L$82,12,0),"")</f>
        <v>2</v>
      </c>
      <c r="I74" s="85" t="str">
        <f t="shared" si="1"/>
        <v>Se encuentra presente y funcionando, pero requiere acciones dirigidas a fortalecer  o mejorar su diseño y/o ejecucion.</v>
      </c>
      <c r="J74" s="47">
        <v>60</v>
      </c>
      <c r="K74" s="83">
        <f>+VLOOKUP(C74,Hoja1!$A$1:$M$82,13,0)</f>
        <v>0.5</v>
      </c>
      <c r="L74" s="591"/>
      <c r="M74" s="44"/>
      <c r="N74" s="32"/>
      <c r="O74" s="32"/>
      <c r="P74" s="32"/>
      <c r="Q74" s="32"/>
      <c r="R74" s="32"/>
      <c r="S74" s="32"/>
    </row>
    <row r="75" spans="2:19" s="26" customFormat="1" ht="99.75" customHeight="1">
      <c r="B75" s="91">
        <f t="shared" si="0"/>
        <v>61</v>
      </c>
      <c r="C75" s="92" t="str">
        <f>+IFERROR(INDEX(Hoja1!$A$2:$A$82,MATCH(J75,Hoja1!$H$2:$H$82,0)),"")</f>
        <v>13.1</v>
      </c>
      <c r="D75" s="93" t="str">
        <f>IFERROR(VLOOKUP(C75,Hoja1!$A$2:$H$82,4,0),"")</f>
        <v>Info y Comunicación</v>
      </c>
      <c r="E75" s="93" t="str">
        <f>+IFERROR(VLOOKUP(C75,Hoja1!$A$1:$J$82,10,0),"")</f>
        <v>Utilización de información relevante (Identifica requisitos de información; Capta fuentes de datos internas y externas; Procesa datos relevantes y los transforma en información).</v>
      </c>
      <c r="F75" s="93" t="str">
        <f>+IFERROR(VLOOKUP(C75,Hoja1!$A$1:$I$82,3,0),"")</f>
        <v>La entidad ha diseñado sistemas de información para capturar y procesar datos y transformarlos en información para alcanzar los requerimientos de información definidos</v>
      </c>
      <c r="G75" s="92">
        <f>+IFERROR(VLOOKUP(C75,Hoja1!$A$1:$K$82,11,0),"")</f>
        <v>3</v>
      </c>
      <c r="H75" s="94">
        <f>+IFERROR(VLOOKUP(C75,Hoja1!$A$1:$L$82,12,0),"")</f>
        <v>3</v>
      </c>
      <c r="I75" s="85" t="str">
        <f t="shared" si="1"/>
        <v>Se encuentra presente y funciona correctamente, por lo tanto se requiere acciones o actividades  dirigidas a su mantenimiento dentro del marco de las lineas de defensa.</v>
      </c>
      <c r="J75" s="47">
        <v>61</v>
      </c>
      <c r="K75" s="83">
        <f>+VLOOKUP(C75,Hoja1!$A$1:$M$82,13,0)</f>
        <v>1</v>
      </c>
      <c r="L75" s="591"/>
      <c r="M75" s="44"/>
      <c r="N75" s="32"/>
      <c r="O75" s="32"/>
      <c r="P75" s="32"/>
      <c r="Q75" s="32"/>
      <c r="R75" s="32"/>
      <c r="S75" s="32"/>
    </row>
    <row r="76" spans="2:19" s="26" customFormat="1" ht="99.75" customHeight="1">
      <c r="B76" s="91">
        <f t="shared" si="0"/>
        <v>62</v>
      </c>
      <c r="C76" s="92" t="str">
        <f>+IFERROR(INDEX(Hoja1!$A$2:$A$82,MATCH(J76,Hoja1!$H$2:$H$82,0)),"")</f>
        <v>13.2</v>
      </c>
      <c r="D76" s="93" t="str">
        <f>IFERROR(VLOOKUP(C76,Hoja1!$A$2:$H$82,4,0),"")</f>
        <v>Info y Comunicación</v>
      </c>
      <c r="E76" s="93" t="str">
        <f>+IFERROR(VLOOKUP(C76,Hoja1!$A$1:$J$82,10,0),"")</f>
        <v>Utilización de información relevante (Identifica requisitos de información; Capta fuentes de datos internas y externas; Procesa datos relevantes y los transforma en información).</v>
      </c>
      <c r="F76" s="93" t="str">
        <f>+IFERROR(VLOOKUP(C76,Hoja1!$A$1:$I$82,3,0),"")</f>
        <v xml:space="preserve"> La entidad cuenta con el inventario de información relevante (interno/externa) y cuenta con un mecanismo que permita su actualización</v>
      </c>
      <c r="G76" s="92">
        <f>+IFERROR(VLOOKUP(C76,Hoja1!$A$1:$K$82,11,0),"")</f>
        <v>3</v>
      </c>
      <c r="H76" s="94">
        <f>+IFERROR(VLOOKUP(C76,Hoja1!$A$1:$L$82,12,0),"")</f>
        <v>3</v>
      </c>
      <c r="I76" s="85" t="str">
        <f t="shared" si="1"/>
        <v>Se encuentra presente y funciona correctamente, por lo tanto se requiere acciones o actividades  dirigidas a su mantenimiento dentro del marco de las lineas de defensa.</v>
      </c>
      <c r="J76" s="47">
        <v>62</v>
      </c>
      <c r="K76" s="83">
        <f>+VLOOKUP(C76,Hoja1!$A$1:$M$82,13,0)</f>
        <v>1</v>
      </c>
      <c r="L76" s="591"/>
      <c r="M76" s="44"/>
      <c r="N76" s="32"/>
      <c r="O76" s="32"/>
      <c r="P76" s="32"/>
      <c r="Q76" s="32"/>
      <c r="R76" s="32"/>
      <c r="S76" s="32"/>
    </row>
    <row r="77" spans="2:19" s="26" customFormat="1" ht="99.75" customHeight="1">
      <c r="B77" s="91">
        <f t="shared" si="0"/>
        <v>63</v>
      </c>
      <c r="C77" s="92" t="str">
        <f>+IFERROR(INDEX(Hoja1!$A$2:$A$82,MATCH(J77,Hoja1!$H$2:$H$82,0)),"")</f>
        <v>13.3</v>
      </c>
      <c r="D77" s="93" t="str">
        <f>IFERROR(VLOOKUP(C77,Hoja1!$A$2:$H$82,4,0),"")</f>
        <v>Info y Comunicación</v>
      </c>
      <c r="E77" s="93" t="str">
        <f>+IFERROR(VLOOKUP(C77,Hoja1!$A$1:$J$82,10,0),"")</f>
        <v>Utilización de información relevante (Identifica requisitos de información; Capta fuentes de datos internas y externas; Procesa datos relevantes y los transforma en información).</v>
      </c>
      <c r="F77" s="93" t="str">
        <f>+IFERROR(VLOOKUP(C77,Hoja1!$A$1:$I$82,3,0),"")</f>
        <v>La entidad considera un ámbito amplio de fuentes de datos (internas y externas), para la captura y procesamiento posterior de información clave para la consecución de metas y objetivos</v>
      </c>
      <c r="G77" s="92">
        <f>+IFERROR(VLOOKUP(C77,Hoja1!$A$1:$K$82,11,0),"")</f>
        <v>3</v>
      </c>
      <c r="H77" s="94">
        <f>+IFERROR(VLOOKUP(C77,Hoja1!$A$1:$L$82,12,0),"")</f>
        <v>3</v>
      </c>
      <c r="I77" s="85" t="str">
        <f t="shared" si="1"/>
        <v>Se encuentra presente y funciona correctamente, por lo tanto se requiere acciones o actividades  dirigidas a su mantenimiento dentro del marco de las lineas de defensa.</v>
      </c>
      <c r="J77" s="47">
        <v>63</v>
      </c>
      <c r="K77" s="83">
        <f>+VLOOKUP(C77,Hoja1!$A$1:$M$82,13,0)</f>
        <v>1</v>
      </c>
      <c r="L77" s="591"/>
      <c r="M77" s="44"/>
      <c r="N77" s="32"/>
      <c r="O77" s="32"/>
      <c r="P77" s="32"/>
      <c r="Q77" s="32"/>
      <c r="R77" s="32"/>
      <c r="S77" s="32"/>
    </row>
    <row r="78" spans="2:19" s="26" customFormat="1" ht="99.75" customHeight="1">
      <c r="B78" s="95">
        <f t="shared" si="0"/>
        <v>64</v>
      </c>
      <c r="C78" s="92" t="str">
        <f>+IFERROR(INDEX(Hoja1!$A$2:$A$82,MATCH(J78,Hoja1!$H$2:$H$82,0)),"")</f>
        <v>13.4</v>
      </c>
      <c r="D78" s="93" t="str">
        <f>IFERROR(VLOOKUP(C78,Hoja1!$A$2:$H$82,4,0),"")</f>
        <v>Info y Comunicación</v>
      </c>
      <c r="E78" s="93" t="str">
        <f>+IFERROR(VLOOKUP(C78,Hoja1!$A$1:$J$82,10,0),"")</f>
        <v>Utilización de información relevante (Identifica requisitos de información; Capta fuentes de datos internas y externas; Procesa datos relevantes y los transforma en información).</v>
      </c>
      <c r="F78" s="93" t="str">
        <f>+IFERROR(VLOOKUP(C78,Hoja1!$A$1:$I$82,3,0),"")</f>
        <v>La entidad ha desarrollado e implementado actividades de control sobre la integridad, confidencialidad y disponibilidad de los datos e información definidos como relevantes</v>
      </c>
      <c r="G78" s="92">
        <f>+IFERROR(VLOOKUP(C78,Hoja1!$A$1:$K$82,11,0),"")</f>
        <v>3</v>
      </c>
      <c r="H78" s="94">
        <f>+IFERROR(VLOOKUP(C78,Hoja1!$A$1:$L$82,12,0),"")</f>
        <v>3</v>
      </c>
      <c r="I78" s="85" t="str">
        <f t="shared" si="1"/>
        <v>Se encuentra presente y funciona correctamente, por lo tanto se requiere acciones o actividades  dirigidas a su mantenimiento dentro del marco de las lineas de defensa.</v>
      </c>
      <c r="J78" s="47">
        <v>64</v>
      </c>
      <c r="K78" s="83">
        <f>+VLOOKUP(C78,Hoja1!$A$1:$M$82,13,0)</f>
        <v>1</v>
      </c>
      <c r="L78" s="591"/>
      <c r="M78" s="44"/>
      <c r="N78" s="32"/>
      <c r="O78" s="32"/>
      <c r="P78" s="32"/>
      <c r="Q78" s="32"/>
      <c r="R78" s="32"/>
      <c r="S78" s="32"/>
    </row>
    <row r="79" spans="2:19" s="26" customFormat="1" ht="99.75" customHeight="1">
      <c r="B79" s="91">
        <f t="shared" si="0"/>
        <v>65</v>
      </c>
      <c r="C79" s="92" t="str">
        <f>+IFERROR(INDEX(Hoja1!$A$2:$A$82,MATCH(J79,Hoja1!$H$2:$H$82,0)),"")</f>
        <v>14.3</v>
      </c>
      <c r="D79" s="93" t="str">
        <f>IFERROR(VLOOKUP(C79,Hoja1!$A$2:$H$82,4,0),"")</f>
        <v>Info y Comunicación</v>
      </c>
      <c r="E79" s="93" t="str">
        <f>+IFERROR(VLOOKUP(C79,Hoja1!$A$1:$J$82,10,0),"")</f>
        <v>Comunicación Interna (Se comunica con el Comité Institucional de Coordinación de Control Interno o su equivalente; Facilita líneas de comunicación en todos los niveles; Selecciona el método de comunicación pertinente).</v>
      </c>
      <c r="F79" s="93" t="str">
        <f>+IFERROR(VLOOKUP(C79,Hoja1!$A$1:$I$82,3,0),"")</f>
        <v>La entidad cuenta con canales de información internos para la denuncia anónima o confidencial de posibles situaciones irregulares y se cuenta con mecanismos específicos para su manejo, de manera tal que generen la confianza para utilizarlos</v>
      </c>
      <c r="G79" s="92">
        <f>+IFERROR(VLOOKUP(C79,Hoja1!$A$1:$K$82,11,0),"")</f>
        <v>3</v>
      </c>
      <c r="H79" s="94">
        <f>+IFERROR(VLOOKUP(C79,Hoja1!$A$1:$L$82,12,0),"")</f>
        <v>3</v>
      </c>
      <c r="I79" s="85" t="str">
        <f t="shared" si="1"/>
        <v>Se encuentra presente y funciona correctamente, por lo tanto se requiere acciones o actividades  dirigidas a su mantenimiento dentro del marco de las lineas de defensa.</v>
      </c>
      <c r="J79" s="47">
        <v>65</v>
      </c>
      <c r="K79" s="83">
        <f>+VLOOKUP(C79,Hoja1!$A$1:$M$82,13,0)</f>
        <v>1</v>
      </c>
      <c r="L79" s="591"/>
      <c r="M79" s="44"/>
      <c r="N79" s="32"/>
      <c r="O79" s="32"/>
      <c r="P79" s="32"/>
      <c r="Q79" s="32"/>
      <c r="R79" s="32"/>
      <c r="S79" s="32"/>
    </row>
    <row r="80" spans="2:19" s="26" customFormat="1" ht="99.75" customHeight="1">
      <c r="B80" s="95">
        <f t="shared" ref="B80:B143" si="2">+IF(ISTEXT(D80),J80,"")</f>
        <v>66</v>
      </c>
      <c r="C80" s="92" t="str">
        <f>+IFERROR(INDEX(Hoja1!$A$2:$A$82,MATCH(J80,Hoja1!$H$2:$H$82,0)),"")</f>
        <v>15.1</v>
      </c>
      <c r="D80" s="93" t="str">
        <f>IFERROR(VLOOKUP(C80,Hoja1!$A$2:$H$82,4,0),"")</f>
        <v>Info y Comunicación</v>
      </c>
      <c r="E80" s="93" t="str">
        <f>+IFERROR(VLOOKUP(C80,Hoja1!$A$1:$J$82,10,0),"")</f>
        <v>Comunicación con el exterior (Se comunica con los grupos de valor y con terceros externos interesados; Facilita líneas de comunicación).</v>
      </c>
      <c r="F80" s="93" t="str">
        <f>+IFERROR(VLOOKUP(C80,Hoja1!$A$1:$I$82,3,0),"")</f>
        <v>La entidad desarrolla e implementa controles que facilitan la comunicación externa, la cual incluye  políticas y procedimientos. 
Incluye contratistas y proveedores de servicios tercerizados (cuando aplique).</v>
      </c>
      <c r="G80" s="92">
        <f>+IFERROR(VLOOKUP(C80,Hoja1!$A$1:$K$82,11,0),"")</f>
        <v>3</v>
      </c>
      <c r="H80" s="94">
        <f>+IFERROR(VLOOKUP(C80,Hoja1!$A$1:$L$82,12,0),"")</f>
        <v>3</v>
      </c>
      <c r="I80" s="85" t="str">
        <f t="shared" ref="I80:I95" si="3">+IF(OR(AND(G80=1,H80=1),AND(G80=1,H80=2),AND(G80=1,H80=3),G80="",H80=""),"No se encuentra presente  por lo tanto no esta funcionando, lo que hace que se requieran acciones dirigidas a fortalecer su diseño y puesta en marcha",IF(OR(AND(G80=2,H80=2),AND(G80=3,H80=1),AND(G80=3,H80=2),AND(G80=2,H80=1)),"Se encuentra presente y funcionando, pero requiere acciones dirigidas a fortalecer  o mejorar su diseño y/o ejecucion.",IF(AND(G80=2,H80=3),"Se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0" s="47">
        <v>66</v>
      </c>
      <c r="K80" s="83">
        <f>+VLOOKUP(C80,Hoja1!$A$1:$M$82,13,0)</f>
        <v>1</v>
      </c>
      <c r="L80" s="591"/>
      <c r="M80" s="44"/>
      <c r="N80" s="32"/>
      <c r="O80" s="32"/>
      <c r="P80" s="32"/>
      <c r="Q80" s="32"/>
      <c r="R80" s="32"/>
      <c r="S80" s="32"/>
    </row>
    <row r="81" spans="2:19" s="26" customFormat="1" ht="99.75" customHeight="1">
      <c r="B81" s="91">
        <f t="shared" si="2"/>
        <v>67</v>
      </c>
      <c r="C81" s="92" t="str">
        <f>+IFERROR(INDEX(Hoja1!$A$2:$A$82,MATCH(J81,Hoja1!$H$2:$H$82,0)),"")</f>
        <v>15.2</v>
      </c>
      <c r="D81" s="93" t="str">
        <f>IFERROR(VLOOKUP(C81,Hoja1!$A$2:$H$82,4,0),"")</f>
        <v>Info y Comunicación</v>
      </c>
      <c r="E81" s="93" t="str">
        <f>+IFERROR(VLOOKUP(C81,Hoja1!$A$1:$J$82,10,0),"")</f>
        <v>Comunicación con el exterior (Se comunica con los grupos de valor y con terceros externos interesados; Facilita líneas de comunicación).</v>
      </c>
      <c r="F81" s="93" t="str">
        <f>+IFERROR(VLOOKUP(C81,Hoja1!$A$1:$I$82,3,0),"")</f>
        <v>La entidad cuenta con canales externos definidos de comunicación, asociados con el tipo de información a divulgar, y éstos son reconocidos a todo nivel de la organización.</v>
      </c>
      <c r="G81" s="92">
        <f>+IFERROR(VLOOKUP(C81,Hoja1!$A$1:$K$82,11,0),"")</f>
        <v>3</v>
      </c>
      <c r="H81" s="94">
        <f>+IFERROR(VLOOKUP(C81,Hoja1!$A$1:$L$82,12,0),"")</f>
        <v>3</v>
      </c>
      <c r="I81" s="85" t="str">
        <f t="shared" si="3"/>
        <v>Se encuentra presente y funciona correctamente, por lo tanto se requiere acciones o actividades  dirigidas a su mantenimiento dentro del marco de las lineas de defensa.</v>
      </c>
      <c r="J81" s="47">
        <v>67</v>
      </c>
      <c r="K81" s="83">
        <f>+VLOOKUP(C81,Hoja1!$A$1:$M$82,13,0)</f>
        <v>1</v>
      </c>
      <c r="L81" s="591"/>
      <c r="M81" s="44"/>
      <c r="N81" s="32"/>
      <c r="O81" s="32"/>
      <c r="P81" s="32"/>
      <c r="Q81" s="32"/>
      <c r="R81" s="32"/>
      <c r="S81" s="32"/>
    </row>
    <row r="82" spans="2:19" s="26" customFormat="1" ht="99.75" customHeight="1">
      <c r="B82" s="91">
        <f t="shared" si="2"/>
        <v>68</v>
      </c>
      <c r="C82" s="92" t="str">
        <f>+IFERROR(INDEX(Hoja1!$A$2:$A$82,MATCH(J82,Hoja1!$H$2:$H$82,0)),"")</f>
        <v xml:space="preserve">17.1 </v>
      </c>
      <c r="D82" s="93" t="str">
        <f>IFERROR(VLOOKUP(C82,Hoja1!$A$2:$H$82,4,0),"")</f>
        <v>Monitoreo - Supervisión</v>
      </c>
      <c r="E82" s="93" t="str">
        <f>+IFERROR(VLOOKUP(C82,Hoja1!$A$1:$J$82,10,0),"")</f>
        <v>Evaluación y comunicación de deficiencias oportunamente (Evalúa los resultados, Comunica las deficiencias y Monitorea las medidas correctivas).</v>
      </c>
      <c r="F82" s="93" t="str">
        <f>+IFERROR(VLOOKUP(C82,Hoja1!$A$1:$I$82,3,0),"")</f>
        <v>A partir de la información de las evaluaciones independientes, se evalúan para determinar su efecto en el Sistema de Control Interno de la entidad y su impacto en el logro de los objetivos, a fin de determinar cursos de acción para su mejora</v>
      </c>
      <c r="G82" s="92">
        <f>+IFERROR(VLOOKUP(C82,Hoja1!$A$1:$K$82,11,0),"")</f>
        <v>3</v>
      </c>
      <c r="H82" s="94">
        <f>+IFERROR(VLOOKUP(C82,Hoja1!$A$1:$L$82,12,0),"")</f>
        <v>2</v>
      </c>
      <c r="I82" s="85" t="str">
        <f t="shared" si="3"/>
        <v>Se encuentra presente y funcionando, pero requiere acciones dirigidas a fortalecer  o mejorar su diseño y/o ejecucion.</v>
      </c>
      <c r="J82" s="47">
        <v>68</v>
      </c>
      <c r="K82" s="83">
        <f>+VLOOKUP(C82,Hoja1!$A$1:$M$82,13,0)</f>
        <v>0.5</v>
      </c>
      <c r="L82" s="591">
        <f>+AVERAGE(K82:K95)</f>
        <v>0.9285714285714286</v>
      </c>
      <c r="M82" s="44"/>
      <c r="N82" s="32"/>
      <c r="O82" s="32"/>
      <c r="P82" s="32"/>
      <c r="Q82" s="32"/>
      <c r="R82" s="32"/>
      <c r="S82" s="32"/>
    </row>
    <row r="83" spans="2:19" s="26" customFormat="1" ht="99.75" customHeight="1">
      <c r="B83" s="91">
        <f t="shared" si="2"/>
        <v>69</v>
      </c>
      <c r="C83" s="92" t="str">
        <f>+IFERROR(INDEX(Hoja1!$A$2:$A$82,MATCH(J83,Hoja1!$H$2:$H$82,0)),"")</f>
        <v xml:space="preserve">17.4 </v>
      </c>
      <c r="D83" s="93" t="str">
        <f>IFERROR(VLOOKUP(C83,Hoja1!$A$2:$H$82,4,0),"")</f>
        <v>Monitoreo - Supervisión</v>
      </c>
      <c r="E83" s="93" t="str">
        <f>+IFERROR(VLOOKUP(C83,Hoja1!$A$1:$J$82,10,0),"")</f>
        <v>Evaluación y comunicación de deficiencias oportunamente (Evalúa los resultados, Comunica las deficiencias y Monitorea las medidas correctivas).</v>
      </c>
      <c r="F83" s="93" t="str">
        <f>+IFERROR(VLOOKUP(C83,Hoja1!$A$1:$I$82,3,0),"")</f>
        <v>La Alta Dirección hace seguimiento a las acciones correctivas relacionadas con las deficiencias comunicadas sobre el Sistema de Control Interno y si se han cumplido en el tiempo establecido</v>
      </c>
      <c r="G83" s="92">
        <f>+IFERROR(VLOOKUP(C83,Hoja1!$A$1:$K$82,11,0),"")</f>
        <v>3</v>
      </c>
      <c r="H83" s="94">
        <f>+IFERROR(VLOOKUP(C83,Hoja1!$A$1:$L$82,12,0),"")</f>
        <v>2</v>
      </c>
      <c r="I83" s="85" t="str">
        <f t="shared" si="3"/>
        <v>Se encuentra presente y funcionando, pero requiere acciones dirigidas a fortalecer  o mejorar su diseño y/o ejecucion.</v>
      </c>
      <c r="J83" s="47">
        <v>69</v>
      </c>
      <c r="K83" s="83">
        <f>+VLOOKUP(C83,Hoja1!$A$1:$M$82,13,0)</f>
        <v>0.5</v>
      </c>
      <c r="L83" s="591"/>
      <c r="M83" s="44"/>
      <c r="N83" s="32"/>
      <c r="O83" s="32"/>
      <c r="P83" s="32"/>
      <c r="Q83" s="32"/>
      <c r="R83" s="32"/>
      <c r="S83" s="32"/>
    </row>
    <row r="84" spans="2:19" s="26" customFormat="1" ht="99.75" customHeight="1">
      <c r="B84" s="95">
        <f t="shared" si="2"/>
        <v>70</v>
      </c>
      <c r="C84" s="92" t="str">
        <f>+IFERROR(INDEX(Hoja1!$A$2:$A$82,MATCH(J84,Hoja1!$H$2:$H$82,0)),"")</f>
        <v>16.1</v>
      </c>
      <c r="D84" s="93" t="str">
        <f>IFERROR(VLOOKUP(C84,Hoja1!$A$2:$H$82,4,0),"")</f>
        <v>Monitoreo - Supervisión</v>
      </c>
      <c r="E84" s="93" t="str">
        <f>+IFERROR(VLOOKUP(C84,Hoja1!$A$1:$J$82,10,0),"")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4" s="93" t="str">
        <f>+IFERROR(VLOOKUP(C84,Hoja1!$A$1:$I$82,3,0),"")</f>
        <v>El comité Institucional de Coordinación de Control Interno aprueba anualmente el Plan Anual de Auditoría presentado por parte del Jefe de Control Interno o quien haga sus veces y hace el correspondiente seguimiento a sus ejecución</v>
      </c>
      <c r="G84" s="92">
        <f>+IFERROR(VLOOKUP(C84,Hoja1!$A$1:$K$82,11,0),"")</f>
        <v>3</v>
      </c>
      <c r="H84" s="94">
        <f>+IFERROR(VLOOKUP(C84,Hoja1!$A$1:$L$82,12,0),"")</f>
        <v>3</v>
      </c>
      <c r="I84" s="85" t="str">
        <f t="shared" si="3"/>
        <v>Se encuentra presente y funciona correctamente, por lo tanto se requiere acciones o actividades  dirigidas a su mantenimiento dentro del marco de las lineas de defensa.</v>
      </c>
      <c r="J84" s="47">
        <v>70</v>
      </c>
      <c r="K84" s="83">
        <f>+VLOOKUP(C84,Hoja1!$A$1:$M$82,13,0)</f>
        <v>1</v>
      </c>
      <c r="L84" s="591"/>
      <c r="M84" s="44"/>
      <c r="N84" s="32"/>
      <c r="O84" s="32"/>
      <c r="P84" s="32"/>
      <c r="Q84" s="32"/>
      <c r="R84" s="32"/>
      <c r="S84" s="32"/>
    </row>
    <row r="85" spans="2:19" s="26" customFormat="1" ht="99.75" customHeight="1">
      <c r="B85" s="91">
        <f t="shared" si="2"/>
        <v>71</v>
      </c>
      <c r="C85" s="92" t="str">
        <f>+IFERROR(INDEX(Hoja1!$A$2:$A$82,MATCH(J85,Hoja1!$H$2:$H$82,0)),"")</f>
        <v>16.2</v>
      </c>
      <c r="D85" s="93" t="str">
        <f>IFERROR(VLOOKUP(C85,Hoja1!$A$2:$H$82,4,0),"")</f>
        <v>Monitoreo - Supervisión</v>
      </c>
      <c r="E85" s="93" t="str">
        <f>+IFERROR(VLOOKUP(C85,Hoja1!$A$1:$J$82,10,0),"")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5" s="93" t="str">
        <f>+IFERROR(VLOOKUP(C85,Hoja1!$A$1:$I$82,3,0),"")</f>
        <v xml:space="preserve"> La Alta Dirección periódicamente evalúa los resultados de las evaluaciones (contínuas e independientes)  para concluir acerca de la efectividad del Sistema de Control Intern</v>
      </c>
      <c r="G85" s="92">
        <f>+IFERROR(VLOOKUP(C85,Hoja1!$A$1:$K$82,11,0),"")</f>
        <v>3</v>
      </c>
      <c r="H85" s="94">
        <f>+IFERROR(VLOOKUP(C85,Hoja1!$A$1:$L$82,12,0),"")</f>
        <v>3</v>
      </c>
      <c r="I85" s="85" t="str">
        <f t="shared" si="3"/>
        <v>Se encuentra presente y funciona correctamente, por lo tanto se requiere acciones o actividades  dirigidas a su mantenimiento dentro del marco de las lineas de defensa.</v>
      </c>
      <c r="J85" s="47">
        <v>71</v>
      </c>
      <c r="K85" s="83">
        <f>+VLOOKUP(C85,Hoja1!$A$1:$M$82,13,0)</f>
        <v>1</v>
      </c>
      <c r="L85" s="591"/>
      <c r="M85" s="44"/>
      <c r="N85" s="32"/>
      <c r="O85" s="32"/>
      <c r="P85" s="32"/>
      <c r="Q85" s="32"/>
      <c r="R85" s="32"/>
      <c r="S85" s="32"/>
    </row>
    <row r="86" spans="2:19" s="26" customFormat="1" ht="99.75" customHeight="1">
      <c r="B86" s="95">
        <f t="shared" si="2"/>
        <v>72</v>
      </c>
      <c r="C86" s="92" t="str">
        <f>+IFERROR(INDEX(Hoja1!$A$2:$A$82,MATCH(J86,Hoja1!$H$2:$H$82,0)),"")</f>
        <v>16.3</v>
      </c>
      <c r="D86" s="93" t="str">
        <f>IFERROR(VLOOKUP(C86,Hoja1!$A$2:$H$82,4,0),"")</f>
        <v>Monitoreo - Supervisión</v>
      </c>
      <c r="E86" s="93" t="str">
        <f>+IFERROR(VLOOKUP(C86,Hoja1!$A$1:$J$82,10,0),"")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6" s="93" t="str">
        <f>+IFERROR(VLOOKUP(C86,Hoja1!$A$1:$I$82,3,0),"")</f>
        <v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G86" s="92">
        <f>+IFERROR(VLOOKUP(C86,Hoja1!$A$1:$K$82,11,0),"")</f>
        <v>3</v>
      </c>
      <c r="H86" s="94">
        <f>+IFERROR(VLOOKUP(C86,Hoja1!$A$1:$L$82,12,0),"")</f>
        <v>3</v>
      </c>
      <c r="I86" s="85" t="str">
        <f t="shared" si="3"/>
        <v>Se encuentra presente y funciona correctamente, por lo tanto se requiere acciones o actividades  dirigidas a su mantenimiento dentro del marco de las lineas de defensa.</v>
      </c>
      <c r="J86" s="47">
        <v>72</v>
      </c>
      <c r="K86" s="83">
        <f>+VLOOKUP(C86,Hoja1!$A$1:$M$82,13,0)</f>
        <v>1</v>
      </c>
      <c r="L86" s="591"/>
      <c r="M86" s="44"/>
      <c r="N86" s="32"/>
      <c r="O86" s="32"/>
      <c r="P86" s="32"/>
      <c r="Q86" s="32"/>
      <c r="R86" s="32"/>
      <c r="S86" s="32"/>
    </row>
    <row r="87" spans="2:19" s="26" customFormat="1" ht="99.75" customHeight="1">
      <c r="B87" s="91">
        <f t="shared" si="2"/>
        <v>73</v>
      </c>
      <c r="C87" s="92" t="str">
        <f>+IFERROR(INDEX(Hoja1!$A$2:$A$82,MATCH(J87,Hoja1!$H$2:$H$82,0)),"")</f>
        <v>16.4</v>
      </c>
      <c r="D87" s="93" t="str">
        <f>IFERROR(VLOOKUP(C87,Hoja1!$A$2:$H$82,4,0),"")</f>
        <v>Monitoreo - Supervisión</v>
      </c>
      <c r="E87" s="93" t="str">
        <f>+IFERROR(VLOOKUP(C87,Hoja1!$A$1:$J$82,10,0),"")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7" s="93" t="str">
        <f>+IFERROR(VLOOKUP(C87,Hoja1!$A$1:$I$82,3,0),"")</f>
        <v>Acorde con el Esquema de Líneas de Defensa se han implementado procedimientos de monitoreo continuo como parte de las actividades de la 2a línea de defensa, a fin de contar con información clave para la toma de decisiones</v>
      </c>
      <c r="G87" s="92">
        <f>+IFERROR(VLOOKUP(C87,Hoja1!$A$1:$K$82,11,0),"")</f>
        <v>3</v>
      </c>
      <c r="H87" s="94">
        <f>+IFERROR(VLOOKUP(C87,Hoja1!$A$1:$L$82,12,0),"")</f>
        <v>3</v>
      </c>
      <c r="I87" s="85" t="str">
        <f t="shared" si="3"/>
        <v>Se encuentra presente y funciona correctamente, por lo tanto se requiere acciones o actividades  dirigidas a su mantenimiento dentro del marco de las lineas de defensa.</v>
      </c>
      <c r="J87" s="47">
        <v>73</v>
      </c>
      <c r="K87" s="83">
        <f>+VLOOKUP(C87,Hoja1!$A$1:$M$82,13,0)</f>
        <v>1</v>
      </c>
      <c r="L87" s="591"/>
      <c r="M87" s="44"/>
      <c r="N87" s="32"/>
      <c r="O87" s="32"/>
      <c r="P87" s="32"/>
      <c r="Q87" s="32"/>
      <c r="R87" s="32"/>
      <c r="S87" s="32"/>
    </row>
    <row r="88" spans="2:19" s="26" customFormat="1" ht="99.75" customHeight="1">
      <c r="B88" s="91">
        <f t="shared" si="2"/>
        <v>74</v>
      </c>
      <c r="C88" s="92" t="str">
        <f>+IFERROR(INDEX(Hoja1!$A$2:$A$82,MATCH(J88,Hoja1!$H$2:$H$82,0)),"")</f>
        <v>16.5</v>
      </c>
      <c r="D88" s="93" t="str">
        <f>IFERROR(VLOOKUP(C88,Hoja1!$A$2:$H$82,4,0),"")</f>
        <v>Monitoreo - Supervisión</v>
      </c>
      <c r="E88" s="93" t="str">
        <f>+IFERROR(VLOOKUP(C88,Hoja1!$A$1:$J$82,10,0),"")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8" s="93" t="str">
        <f>+IFERROR(VLOOKUP(C88,Hoja1!$A$1:$I$82,3,0),"")</f>
        <v>Frente a las evaluaciones independientes la entidad considera evaluaciones externas de organismos de control, de vigilancia, certificadores, ONG´s u otros que permitan tener una mirada independiente de las operaciones</v>
      </c>
      <c r="G88" s="92">
        <f>+IFERROR(VLOOKUP(C88,Hoja1!$A$1:$K$82,11,0),"")</f>
        <v>3</v>
      </c>
      <c r="H88" s="94">
        <f>+IFERROR(VLOOKUP(C88,Hoja1!$A$1:$L$82,12,0),"")</f>
        <v>3</v>
      </c>
      <c r="I88" s="85" t="str">
        <f t="shared" si="3"/>
        <v>Se encuentra presente y funciona correctamente, por lo tanto se requiere acciones o actividades  dirigidas a su mantenimiento dentro del marco de las lineas de defensa.</v>
      </c>
      <c r="J88" s="47">
        <v>74</v>
      </c>
      <c r="K88" s="83">
        <f>+VLOOKUP(C88,Hoja1!$A$1:$M$82,13,0)</f>
        <v>1</v>
      </c>
      <c r="L88" s="591"/>
      <c r="M88" s="44"/>
      <c r="N88" s="32"/>
      <c r="O88" s="32"/>
      <c r="P88" s="32"/>
      <c r="Q88" s="32"/>
      <c r="R88" s="32"/>
      <c r="S88" s="32"/>
    </row>
    <row r="89" spans="2:19" s="26" customFormat="1" ht="99.75" customHeight="1">
      <c r="B89" s="91">
        <f t="shared" si="2"/>
        <v>75</v>
      </c>
      <c r="C89" s="92" t="str">
        <f>+IFERROR(INDEX(Hoja1!$A$2:$A$82,MATCH(J89,Hoja1!$H$2:$H$82,0)),"")</f>
        <v xml:space="preserve">17.2 </v>
      </c>
      <c r="D89" s="93" t="str">
        <f>IFERROR(VLOOKUP(C89,Hoja1!$A$2:$H$82,4,0),"")</f>
        <v>Monitoreo - Supervisión</v>
      </c>
      <c r="E89" s="93" t="str">
        <f>+IFERROR(VLOOKUP(C89,Hoja1!$A$1:$J$82,10,0),"")</f>
        <v>Evaluación y comunicación de deficiencias oportunamente (Evalúa los resultados, Comunica las deficiencias y Monitorea las medidas correctivas).</v>
      </c>
      <c r="F89" s="93" t="str">
        <f>+IFERROR(VLOOKUP(C89,Hoja1!$A$1:$I$82,3,0),"")</f>
        <v>Los informes recibidos de entes externos (organismos de control, auditores externos, entidades de vigilancia entre otros) se consolidan y se concluye sobre el impacto en el Sistema de Control Interno, a fin de determinar los cursos de acción</v>
      </c>
      <c r="G89" s="92">
        <f>+IFERROR(VLOOKUP(C89,Hoja1!$A$1:$K$82,11,0),"")</f>
        <v>3</v>
      </c>
      <c r="H89" s="94">
        <f>+IFERROR(VLOOKUP(C89,Hoja1!$A$1:$L$82,12,0),"")</f>
        <v>3</v>
      </c>
      <c r="I89" s="85" t="str">
        <f t="shared" si="3"/>
        <v>Se encuentra presente y funciona correctamente, por lo tanto se requiere acciones o actividades  dirigidas a su mantenimiento dentro del marco de las lineas de defensa.</v>
      </c>
      <c r="J89" s="47">
        <v>75</v>
      </c>
      <c r="K89" s="83">
        <f>+VLOOKUP(C89,Hoja1!$A$1:$M$82,13,0)</f>
        <v>1</v>
      </c>
      <c r="L89" s="591"/>
      <c r="M89" s="44"/>
      <c r="N89" s="32"/>
      <c r="O89" s="32"/>
      <c r="P89" s="32"/>
      <c r="Q89" s="32"/>
      <c r="R89" s="32"/>
      <c r="S89" s="32"/>
    </row>
    <row r="90" spans="2:19" s="26" customFormat="1" ht="99.75" customHeight="1">
      <c r="B90" s="95">
        <f t="shared" si="2"/>
        <v>76</v>
      </c>
      <c r="C90" s="92" t="str">
        <f>+IFERROR(INDEX(Hoja1!$A$2:$A$82,MATCH(J90,Hoja1!$H$2:$H$82,0)),"")</f>
        <v xml:space="preserve">17.3 </v>
      </c>
      <c r="D90" s="93" t="str">
        <f>IFERROR(VLOOKUP(C90,Hoja1!$A$2:$H$82,4,0),"")</f>
        <v>Monitoreo - Supervisión</v>
      </c>
      <c r="E90" s="93" t="str">
        <f>+IFERROR(VLOOKUP(C90,Hoja1!$A$1:$J$82,10,0),"")</f>
        <v>Evaluación y comunicación de deficiencias oportunamente (Evalúa los resultados, Comunica las deficiencias y Monitorea las medidas correctivas).</v>
      </c>
      <c r="F90" s="93" t="str">
        <f>+IFERROR(VLOOKUP(C90,Hoja1!$A$1:$I$82,3,0),"")</f>
        <v>La entidad cuenta con políticas donde se establezca a quién reportar las deficiencias de control interno como resultado del monitoreo continuo</v>
      </c>
      <c r="G90" s="92">
        <f>+IFERROR(VLOOKUP(C90,Hoja1!$A$1:$K$82,11,0),"")</f>
        <v>3</v>
      </c>
      <c r="H90" s="94">
        <f>+IFERROR(VLOOKUP(C90,Hoja1!$A$1:$L$82,12,0),"")</f>
        <v>3</v>
      </c>
      <c r="I90" s="85" t="str">
        <f t="shared" si="3"/>
        <v>Se encuentra presente y funciona correctamente, por lo tanto se requiere acciones o actividades  dirigidas a su mantenimiento dentro del marco de las lineas de defensa.</v>
      </c>
      <c r="J90" s="47">
        <v>76</v>
      </c>
      <c r="K90" s="83">
        <f>+VLOOKUP(C90,Hoja1!$A$1:$M$82,13,0)</f>
        <v>1</v>
      </c>
      <c r="L90" s="591"/>
      <c r="M90" s="44"/>
      <c r="N90" s="32"/>
      <c r="O90" s="32"/>
      <c r="P90" s="32"/>
      <c r="Q90" s="32"/>
      <c r="R90" s="32"/>
      <c r="S90" s="32"/>
    </row>
    <row r="91" spans="2:19" s="26" customFormat="1" ht="99.75" customHeight="1">
      <c r="B91" s="91">
        <f t="shared" si="2"/>
        <v>77</v>
      </c>
      <c r="C91" s="92" t="str">
        <f>+IFERROR(INDEX(Hoja1!$A$2:$A$82,MATCH(J91,Hoja1!$H$2:$H$82,0)),"")</f>
        <v xml:space="preserve">17.5 </v>
      </c>
      <c r="D91" s="93" t="str">
        <f>IFERROR(VLOOKUP(C91,Hoja1!$A$2:$H$82,4,0),"")</f>
        <v>Monitoreo - Supervisión</v>
      </c>
      <c r="E91" s="93" t="str">
        <f>+IFERROR(VLOOKUP(C91,Hoja1!$A$1:$J$82,10,0),"")</f>
        <v>Evaluación y comunicación de deficiencias oportunamente (Evalúa los resultados, Comunica las deficiencias y Monitorea las medidas correctivas).</v>
      </c>
      <c r="F91" s="93" t="str">
        <f>+IFERROR(VLOOKUP(C91,Hoja1!$A$1:$I$82,3,0),"")</f>
        <v>Los procesos y/o servicios tercerizados, son evaluados acorde con su nivel de riesgos</v>
      </c>
      <c r="G91" s="92">
        <f>+IFERROR(VLOOKUP(C91,Hoja1!$A$1:$K$82,11,0),"")</f>
        <v>3</v>
      </c>
      <c r="H91" s="94">
        <f>+IFERROR(VLOOKUP(C91,Hoja1!$A$1:$L$82,12,0),"")</f>
        <v>3</v>
      </c>
      <c r="I91" s="85" t="str">
        <f t="shared" si="3"/>
        <v>Se encuentra presente y funciona correctamente, por lo tanto se requiere acciones o actividades  dirigidas a su mantenimiento dentro del marco de las lineas de defensa.</v>
      </c>
      <c r="J91" s="47">
        <v>77</v>
      </c>
      <c r="K91" s="84">
        <f>+VLOOKUP(C91,Hoja1!$A$1:$M$82,13,0)</f>
        <v>1</v>
      </c>
      <c r="L91" s="591"/>
      <c r="M91" s="44"/>
      <c r="N91" s="32"/>
      <c r="O91" s="32"/>
      <c r="P91" s="32"/>
      <c r="Q91" s="32"/>
      <c r="R91" s="32"/>
      <c r="S91" s="32"/>
    </row>
    <row r="92" spans="2:19" s="26" customFormat="1" ht="99.75" customHeight="1">
      <c r="B92" s="95">
        <f t="shared" si="2"/>
        <v>78</v>
      </c>
      <c r="C92" s="92" t="str">
        <f>+IFERROR(INDEX(Hoja1!$A$2:$A$82,MATCH(J92,Hoja1!$H$2:$H$82,0)),"")</f>
        <v xml:space="preserve">17.6 </v>
      </c>
      <c r="D92" s="93" t="str">
        <f>IFERROR(VLOOKUP(C92,Hoja1!$A$2:$H$82,4,0),"")</f>
        <v>Monitoreo - Supervisión</v>
      </c>
      <c r="E92" s="93" t="str">
        <f>+IFERROR(VLOOKUP(C92,Hoja1!$A$1:$J$82,10,0),"")</f>
        <v>Evaluación y comunicación de deficiencias oportunamente (Evalúa los resultados, Comunica las deficiencias y Monitorea las medidas correctivas).</v>
      </c>
      <c r="F92" s="93" t="str">
        <f>+IFERROR(VLOOKUP(C92,Hoja1!$A$1:$I$82,3,0),"")</f>
        <v>Se evalúa la información suministrada por los usuarios (Sistema PQRD), así como de otras partes interesadas para la mejora del  Sistema de Control Interno de la Entidad</v>
      </c>
      <c r="G92" s="92">
        <f>+IFERROR(VLOOKUP(C92,Hoja1!$A$1:$K$82,11,0),"")</f>
        <v>3</v>
      </c>
      <c r="H92" s="94">
        <f>+IFERROR(VLOOKUP(C92,Hoja1!$A$1:$L$82,12,0),"")</f>
        <v>3</v>
      </c>
      <c r="I92" s="85" t="str">
        <f t="shared" si="3"/>
        <v>Se encuentra presente y funciona correctamente, por lo tanto se requiere acciones o actividades  dirigidas a su mantenimiento dentro del marco de las lineas de defensa.</v>
      </c>
      <c r="J92" s="47">
        <v>78</v>
      </c>
      <c r="K92" s="84">
        <f>+VLOOKUP(C92,Hoja1!$A$1:$M$82,13,0)</f>
        <v>1</v>
      </c>
      <c r="L92" s="591"/>
      <c r="M92" s="44"/>
      <c r="N92" s="32"/>
      <c r="O92" s="32"/>
      <c r="P92" s="32"/>
      <c r="Q92" s="32"/>
      <c r="R92" s="32"/>
      <c r="S92" s="32"/>
    </row>
    <row r="93" spans="2:19" s="26" customFormat="1" ht="99.75" customHeight="1">
      <c r="B93" s="91">
        <f t="shared" si="2"/>
        <v>79</v>
      </c>
      <c r="C93" s="92" t="str">
        <f>+IFERROR(INDEX(Hoja1!$A$2:$A$82,MATCH(J93,Hoja1!$H$2:$H$82,0)),"")</f>
        <v xml:space="preserve">17.7 </v>
      </c>
      <c r="D93" s="93" t="str">
        <f>IFERROR(VLOOKUP(C93,Hoja1!$A$2:$H$82,4,0),"")</f>
        <v>Monitoreo - Supervisión</v>
      </c>
      <c r="E93" s="93" t="str">
        <f>+IFERROR(VLOOKUP(C93,Hoja1!$A$1:$J$82,10,0),"")</f>
        <v>Evaluación y comunicación de deficiencias oportunamente (Evalúa los resultados, Comunica las deficiencias y Monitorea las medidas correctivas).</v>
      </c>
      <c r="F93" s="93" t="str">
        <f>+IFERROR(VLOOKUP(C93,Hoja1!$A$1:$I$82,3,0),"")</f>
        <v>Verificación del avance y cumplimiento de las acciones incluidas en los planes de mejoramiento producto de las autoevaluaciones. (2ª Línea).</v>
      </c>
      <c r="G93" s="92">
        <f>+IFERROR(VLOOKUP(C93,Hoja1!$A$1:$K$82,11,0),"")</f>
        <v>3</v>
      </c>
      <c r="H93" s="94">
        <f>+IFERROR(VLOOKUP(C93,Hoja1!$A$1:$L$82,12,0),"")</f>
        <v>3</v>
      </c>
      <c r="I93" s="85" t="str">
        <f t="shared" si="3"/>
        <v>Se encuentra presente y funciona correctamente, por lo tanto se requiere acciones o actividades  dirigidas a su mantenimiento dentro del marco de las lineas de defensa.</v>
      </c>
      <c r="J93" s="47">
        <v>79</v>
      </c>
      <c r="K93" s="84">
        <f>+VLOOKUP(C93,Hoja1!$A$1:$M$82,13,0)</f>
        <v>1</v>
      </c>
      <c r="L93" s="591"/>
      <c r="M93" s="44"/>
      <c r="N93" s="32"/>
      <c r="O93" s="32"/>
      <c r="P93" s="32"/>
      <c r="Q93" s="32"/>
      <c r="R93" s="32"/>
      <c r="S93" s="32"/>
    </row>
    <row r="94" spans="2:19" s="26" customFormat="1" ht="99.75" customHeight="1">
      <c r="B94" s="91">
        <f t="shared" si="2"/>
        <v>80</v>
      </c>
      <c r="C94" s="92" t="str">
        <f>+IFERROR(INDEX(Hoja1!$A$2:$A$82,MATCH(J94,Hoja1!$H$2:$H$82,0)),"")</f>
        <v xml:space="preserve">17.8 </v>
      </c>
      <c r="D94" s="93" t="str">
        <f>IFERROR(VLOOKUP(C94,Hoja1!$A$2:$H$82,4,0),"")</f>
        <v>Monitoreo - Supervisión</v>
      </c>
      <c r="E94" s="93" t="str">
        <f>+IFERROR(VLOOKUP(C94,Hoja1!$A$1:$J$82,10,0),"")</f>
        <v>Evaluación y comunicación de deficiencias oportunamente (Evalúa los resultados, Comunica las deficiencias y Monitorea las medidas correctivas).</v>
      </c>
      <c r="F94" s="93" t="str">
        <f>+IFERROR(VLOOKUP(C94,Hoja1!$A$1:$I$82,3,0),"")</f>
        <v>Evaluación de la efectividad de las acciones incluidas en los Planes de mejoramiento producto de las auditorías internas y de entes externos. (3ª Línea</v>
      </c>
      <c r="G94" s="92">
        <f>+IFERROR(VLOOKUP(C94,Hoja1!$A$1:$K$82,11,0),"")</f>
        <v>3</v>
      </c>
      <c r="H94" s="94">
        <f>+IFERROR(VLOOKUP(C94,Hoja1!$A$1:$L$82,12,0),"")</f>
        <v>3</v>
      </c>
      <c r="I94" s="85" t="str">
        <f t="shared" si="3"/>
        <v>Se encuentra presente y funciona correctamente, por lo tanto se requiere acciones o actividades  dirigidas a su mantenimiento dentro del marco de las lineas de defensa.</v>
      </c>
      <c r="J94" s="47">
        <v>80</v>
      </c>
      <c r="K94" s="84">
        <f>+VLOOKUP(C94,Hoja1!$A$1:$M$82,13,0)</f>
        <v>1</v>
      </c>
      <c r="L94" s="591"/>
      <c r="M94" s="44"/>
      <c r="N94" s="32"/>
      <c r="O94" s="32"/>
      <c r="P94" s="32"/>
      <c r="Q94" s="32"/>
      <c r="R94" s="32"/>
      <c r="S94" s="32"/>
    </row>
    <row r="95" spans="2:19" s="26" customFormat="1" ht="99.75" customHeight="1">
      <c r="B95" s="91">
        <f t="shared" si="2"/>
        <v>81</v>
      </c>
      <c r="C95" s="92" t="str">
        <f>+IFERROR(INDEX(Hoja1!$A$2:$A$82,MATCH(J95,Hoja1!$H$2:$H$82,0)),"")</f>
        <v xml:space="preserve">17.9 </v>
      </c>
      <c r="D95" s="93" t="str">
        <f>IFERROR(VLOOKUP(C95,Hoja1!$A$2:$H$82,4,0),"")</f>
        <v>Monitoreo - Supervisión</v>
      </c>
      <c r="E95" s="93" t="str">
        <f>+IFERROR(VLOOKUP(C95,Hoja1!$A$1:$J$82,10,0),"")</f>
        <v>Evaluación y comunicación de deficiencias oportunamente (Evalúa los resultados, Comunica las deficiencias y Monitorea las medidas correctivas).</v>
      </c>
      <c r="F95" s="93" t="str">
        <f>+IFERROR(VLOOKUP(C95,Hoja1!$A$1:$I$82,3,0),"")</f>
        <v>Las deficiencias de control interno son reportadas a los responsables de nivel jerárquico superior, para tomar la acciones correspondientes</v>
      </c>
      <c r="G95" s="92">
        <f>+IFERROR(VLOOKUP(C95,Hoja1!$A$1:$K$82,11,0),"")</f>
        <v>3</v>
      </c>
      <c r="H95" s="94">
        <f>+IFERROR(VLOOKUP(C95,Hoja1!$A$1:$L$82,12,0),"")</f>
        <v>3</v>
      </c>
      <c r="I95" s="85" t="str">
        <f t="shared" si="3"/>
        <v>Se encuentra presente y funciona correctamente, por lo tanto se requiere acciones o actividades  dirigidas a su mantenimiento dentro del marco de las lineas de defensa.</v>
      </c>
      <c r="J95" s="47">
        <v>81</v>
      </c>
      <c r="K95" s="84">
        <f>+VLOOKUP(C95,Hoja1!$A$1:$M$82,13,0)</f>
        <v>1</v>
      </c>
      <c r="L95" s="592"/>
      <c r="M95" s="44"/>
      <c r="N95" s="32"/>
      <c r="O95" s="32"/>
      <c r="P95" s="32"/>
      <c r="Q95" s="32"/>
      <c r="R95" s="32"/>
      <c r="S95" s="32"/>
    </row>
    <row r="96" spans="2:19" s="26" customFormat="1" ht="99.75" customHeight="1">
      <c r="B96" s="95">
        <f t="shared" si="2"/>
        <v>82</v>
      </c>
      <c r="C96" s="92" t="str">
        <f>+IFERROR(INDEX(Hoja1!$A$2:$A$82,MATCH(J96,Hoja1!$H$2:$H$82,0)),"")</f>
        <v/>
      </c>
      <c r="D96" s="93" t="str">
        <f>IFERROR(VLOOKUP(C96,Hoja1!$A$2:$H$82,4,0),"")</f>
        <v/>
      </c>
      <c r="E96" s="93" t="str">
        <f>+IFERROR(VLOOKUP(C96,Hoja1!$A$1:$J$82,10,0),"")</f>
        <v/>
      </c>
      <c r="F96" s="93" t="str">
        <f>+IFERROR(VLOOKUP(C96,Hoja1!$A$1:$I$82,3,0),"")</f>
        <v/>
      </c>
      <c r="G96" s="92" t="str">
        <f>+IFERROR(VLOOKUP(C96,Hoja1!$A$1:$K$82,11,0),"")</f>
        <v/>
      </c>
      <c r="H96" s="94" t="str">
        <f>+IFERROR(VLOOKUP(C96,Hoja1!$A$1:$L$82,12,0),"")</f>
        <v/>
      </c>
      <c r="I96" s="30"/>
      <c r="J96" s="47">
        <v>82</v>
      </c>
      <c r="K96" s="46"/>
      <c r="L96" s="32"/>
      <c r="M96" s="44"/>
      <c r="N96" s="32"/>
      <c r="O96" s="32"/>
      <c r="P96" s="32"/>
      <c r="Q96" s="32"/>
      <c r="R96" s="32"/>
      <c r="S96" s="32"/>
    </row>
    <row r="97" spans="2:19" s="26" customFormat="1" ht="99.75" customHeight="1">
      <c r="B97" s="91">
        <f t="shared" si="2"/>
        <v>83</v>
      </c>
      <c r="C97" s="92" t="str">
        <f>+IFERROR(INDEX(Hoja1!$A$2:$A$82,MATCH(J97,Hoja1!$H$2:$H$82,0)),"")</f>
        <v/>
      </c>
      <c r="D97" s="93" t="str">
        <f>IFERROR(VLOOKUP(C97,Hoja1!$A$2:$H$82,4,0),"")</f>
        <v/>
      </c>
      <c r="E97" s="93" t="str">
        <f>+IFERROR(VLOOKUP(C97,Hoja1!$A$1:$J$82,10,0),"")</f>
        <v/>
      </c>
      <c r="F97" s="93" t="str">
        <f>+IFERROR(VLOOKUP(C97,Hoja1!$A$1:$I$82,3,0),"")</f>
        <v/>
      </c>
      <c r="G97" s="92" t="str">
        <f>+IFERROR(VLOOKUP(C97,Hoja1!$A$1:$K$82,11,0),"")</f>
        <v/>
      </c>
      <c r="H97" s="94" t="str">
        <f>+IFERROR(VLOOKUP(C97,Hoja1!$A$1:$L$82,12,0),"")</f>
        <v/>
      </c>
      <c r="I97" s="30"/>
      <c r="J97" s="47">
        <v>83</v>
      </c>
      <c r="K97" s="50"/>
      <c r="M97" s="44"/>
      <c r="N97" s="32"/>
      <c r="O97" s="32"/>
      <c r="P97" s="32"/>
      <c r="Q97" s="32"/>
      <c r="R97" s="32"/>
      <c r="S97" s="32"/>
    </row>
    <row r="98" spans="2:19" s="26" customFormat="1" ht="99.75" customHeight="1">
      <c r="B98" s="95">
        <f t="shared" si="2"/>
        <v>84</v>
      </c>
      <c r="C98" s="92" t="str">
        <f>+IFERROR(INDEX(Hoja1!$A$2:$A$82,MATCH(J98,Hoja1!$H$2:$H$82,0)),"")</f>
        <v/>
      </c>
      <c r="D98" s="93" t="str">
        <f>IFERROR(VLOOKUP(C98,Hoja1!$A$2:$H$82,4,0),"")</f>
        <v/>
      </c>
      <c r="E98" s="93" t="str">
        <f>+IFERROR(VLOOKUP(C98,Hoja1!$A$1:$J$82,10,0),"")</f>
        <v/>
      </c>
      <c r="F98" s="93" t="str">
        <f>+IFERROR(VLOOKUP(C98,Hoja1!$A$1:$I$82,3,0),"")</f>
        <v/>
      </c>
      <c r="G98" s="92" t="str">
        <f>+IFERROR(VLOOKUP(C98,Hoja1!$A$1:$K$82,11,0),"")</f>
        <v/>
      </c>
      <c r="H98" s="94" t="str">
        <f>+IFERROR(VLOOKUP(C98,Hoja1!$A$1:$L$82,12,0),"")</f>
        <v/>
      </c>
      <c r="I98" s="30"/>
      <c r="J98" s="47">
        <v>84</v>
      </c>
      <c r="K98" s="46"/>
      <c r="M98" s="44"/>
      <c r="N98" s="32"/>
      <c r="O98" s="32"/>
      <c r="P98" s="32"/>
      <c r="Q98" s="32"/>
      <c r="R98" s="32"/>
      <c r="S98" s="32"/>
    </row>
    <row r="99" spans="2:19" s="26" customFormat="1" ht="99.75" customHeight="1">
      <c r="B99" s="91">
        <f t="shared" si="2"/>
        <v>85</v>
      </c>
      <c r="C99" s="92" t="str">
        <f>+IFERROR(INDEX(Hoja1!$A$2:$A$82,MATCH(J99,Hoja1!$H$2:$H$82,0)),"")</f>
        <v/>
      </c>
      <c r="D99" s="93" t="str">
        <f>IFERROR(VLOOKUP(C99,Hoja1!$A$2:$H$82,4,0),"")</f>
        <v/>
      </c>
      <c r="E99" s="93" t="str">
        <f>+IFERROR(VLOOKUP(C99,Hoja1!$A$1:$J$82,10,0),"")</f>
        <v/>
      </c>
      <c r="F99" s="93" t="str">
        <f>+IFERROR(VLOOKUP(C99,Hoja1!$A$1:$I$82,3,0),"")</f>
        <v/>
      </c>
      <c r="G99" s="92" t="str">
        <f>+IFERROR(VLOOKUP(C99,Hoja1!$A$1:$K$82,11,0),"")</f>
        <v/>
      </c>
      <c r="H99" s="94" t="str">
        <f>+IFERROR(VLOOKUP(C99,Hoja1!$A$1:$L$82,12,0),"")</f>
        <v/>
      </c>
      <c r="I99" s="30"/>
      <c r="J99" s="47">
        <v>85</v>
      </c>
      <c r="K99" s="46"/>
      <c r="M99" s="44"/>
      <c r="N99" s="32"/>
      <c r="O99" s="32"/>
      <c r="P99" s="32"/>
      <c r="Q99" s="32"/>
      <c r="R99" s="32"/>
      <c r="S99" s="32"/>
    </row>
    <row r="100" spans="2:19" s="26" customFormat="1" ht="99.75" customHeight="1">
      <c r="B100" s="91">
        <f t="shared" si="2"/>
        <v>86</v>
      </c>
      <c r="C100" s="92" t="str">
        <f>+IFERROR(INDEX(Hoja1!$A$2:$A$82,MATCH(J100,Hoja1!$H$2:$H$82,0)),"")</f>
        <v/>
      </c>
      <c r="D100" s="93" t="str">
        <f>IFERROR(VLOOKUP(C100,Hoja1!$A$2:$H$82,4,0),"")</f>
        <v/>
      </c>
      <c r="E100" s="93" t="str">
        <f>+IFERROR(VLOOKUP(C100,Hoja1!$A$1:$J$82,10,0),"")</f>
        <v/>
      </c>
      <c r="F100" s="93" t="str">
        <f>+IFERROR(VLOOKUP(C100,Hoja1!$A$1:$I$82,3,0),"")</f>
        <v/>
      </c>
      <c r="G100" s="92" t="str">
        <f>+IFERROR(VLOOKUP(C100,Hoja1!$A$1:$K$82,11,0),"")</f>
        <v/>
      </c>
      <c r="H100" s="94" t="str">
        <f>+IFERROR(VLOOKUP(C100,Hoja1!$A$1:$L$82,12,0),"")</f>
        <v/>
      </c>
      <c r="I100" s="30"/>
      <c r="J100" s="47">
        <v>86</v>
      </c>
      <c r="K100" s="46"/>
      <c r="M100" s="44"/>
      <c r="N100" s="32"/>
      <c r="O100" s="32"/>
      <c r="P100" s="32"/>
      <c r="Q100" s="32"/>
      <c r="R100" s="32"/>
      <c r="S100" s="32"/>
    </row>
    <row r="101" spans="2:19" s="26" customFormat="1" ht="99.75" customHeight="1">
      <c r="B101" s="91">
        <f t="shared" si="2"/>
        <v>87</v>
      </c>
      <c r="C101" s="92" t="str">
        <f>+IFERROR(INDEX(Hoja1!$A$2:$A$82,MATCH(J101,Hoja1!$H$2:$H$82,0)),"")</f>
        <v/>
      </c>
      <c r="D101" s="93" t="str">
        <f>IFERROR(VLOOKUP(C101,Hoja1!$A$2:$H$82,4,0),"")</f>
        <v/>
      </c>
      <c r="E101" s="93" t="str">
        <f>+IFERROR(VLOOKUP(C101,Hoja1!$A$1:$J$82,10,0),"")</f>
        <v/>
      </c>
      <c r="F101" s="93" t="str">
        <f>+IFERROR(VLOOKUP(C101,Hoja1!$A$1:$I$82,3,0),"")</f>
        <v/>
      </c>
      <c r="G101" s="92" t="str">
        <f>+IFERROR(VLOOKUP(C101,Hoja1!$A$1:$K$82,11,0),"")</f>
        <v/>
      </c>
      <c r="H101" s="94" t="str">
        <f>+IFERROR(VLOOKUP(C101,Hoja1!$A$1:$L$82,12,0),"")</f>
        <v/>
      </c>
      <c r="I101" s="30"/>
      <c r="J101" s="47">
        <v>87</v>
      </c>
      <c r="K101" s="46"/>
      <c r="M101" s="44"/>
      <c r="N101" s="32"/>
      <c r="O101" s="32"/>
      <c r="P101" s="32"/>
      <c r="Q101" s="32"/>
      <c r="R101" s="32"/>
      <c r="S101" s="32"/>
    </row>
    <row r="102" spans="2:19" s="26" customFormat="1" ht="99.75" customHeight="1">
      <c r="B102" s="95">
        <f t="shared" si="2"/>
        <v>88</v>
      </c>
      <c r="C102" s="92" t="str">
        <f>+IFERROR(INDEX(Hoja1!$A$2:$A$82,MATCH(J102,Hoja1!$H$2:$H$82,0)),"")</f>
        <v/>
      </c>
      <c r="D102" s="93" t="str">
        <f>IFERROR(VLOOKUP(C102,Hoja1!$A$2:$H$82,4,0),"")</f>
        <v/>
      </c>
      <c r="E102" s="93" t="str">
        <f>+IFERROR(VLOOKUP(C102,Hoja1!$A$1:$J$82,10,0),"")</f>
        <v/>
      </c>
      <c r="F102" s="93" t="str">
        <f>+IFERROR(VLOOKUP(C102,Hoja1!$A$1:$I$82,3,0),"")</f>
        <v/>
      </c>
      <c r="G102" s="92" t="str">
        <f>+IFERROR(VLOOKUP(C102,Hoja1!$A$1:$K$82,11,0),"")</f>
        <v/>
      </c>
      <c r="H102" s="94" t="str">
        <f>+IFERROR(VLOOKUP(C102,Hoja1!$A$1:$L$82,12,0),"")</f>
        <v/>
      </c>
      <c r="I102" s="30"/>
      <c r="J102" s="47">
        <v>88</v>
      </c>
      <c r="K102" s="46"/>
      <c r="M102" s="44"/>
      <c r="N102" s="32"/>
      <c r="O102" s="32"/>
      <c r="P102" s="32"/>
      <c r="Q102" s="32"/>
      <c r="R102" s="32"/>
      <c r="S102" s="32"/>
    </row>
    <row r="103" spans="2:19" s="26" customFormat="1" ht="99.75" customHeight="1">
      <c r="B103" s="91">
        <f t="shared" si="2"/>
        <v>89</v>
      </c>
      <c r="C103" s="92" t="str">
        <f>+IFERROR(INDEX(Hoja1!$A$2:$A$82,MATCH(J103,Hoja1!$H$2:$H$82,0)),"")</f>
        <v/>
      </c>
      <c r="D103" s="93" t="str">
        <f>IFERROR(VLOOKUP(C103,Hoja1!$A$2:$H$82,4,0),"")</f>
        <v/>
      </c>
      <c r="E103" s="93" t="str">
        <f>+IFERROR(VLOOKUP(C103,Hoja1!$A$1:$J$82,10,0),"")</f>
        <v/>
      </c>
      <c r="F103" s="93" t="str">
        <f>+IFERROR(VLOOKUP(C103,Hoja1!$A$1:$I$82,3,0),"")</f>
        <v/>
      </c>
      <c r="G103" s="92" t="str">
        <f>+IFERROR(VLOOKUP(C103,Hoja1!$A$1:$K$82,11,0),"")</f>
        <v/>
      </c>
      <c r="H103" s="94" t="str">
        <f>+IFERROR(VLOOKUP(C103,Hoja1!$A$1:$L$82,12,0),"")</f>
        <v/>
      </c>
      <c r="I103" s="30"/>
      <c r="J103" s="47">
        <v>89</v>
      </c>
      <c r="K103" s="46"/>
      <c r="M103" s="44"/>
      <c r="N103" s="32"/>
      <c r="O103" s="32"/>
      <c r="P103" s="32"/>
      <c r="Q103" s="32"/>
      <c r="R103" s="32"/>
      <c r="S103" s="32"/>
    </row>
    <row r="104" spans="2:19" s="26" customFormat="1" ht="99.75" customHeight="1">
      <c r="B104" s="95">
        <f t="shared" si="2"/>
        <v>90</v>
      </c>
      <c r="C104" s="92" t="str">
        <f>+IFERROR(INDEX(Hoja1!$A$2:$A$82,MATCH(J104,Hoja1!$H$2:$H$82,0)),"")</f>
        <v/>
      </c>
      <c r="D104" s="93" t="str">
        <f>IFERROR(VLOOKUP(C104,Hoja1!$A$2:$H$82,4,0),"")</f>
        <v/>
      </c>
      <c r="E104" s="93" t="str">
        <f>+IFERROR(VLOOKUP(C104,Hoja1!$A$1:$J$82,10,0),"")</f>
        <v/>
      </c>
      <c r="F104" s="93" t="str">
        <f>+IFERROR(VLOOKUP(C104,Hoja1!$A$1:$I$82,3,0),"")</f>
        <v/>
      </c>
      <c r="G104" s="92" t="str">
        <f>+IFERROR(VLOOKUP(C104,Hoja1!$A$1:$K$82,11,0),"")</f>
        <v/>
      </c>
      <c r="H104" s="94" t="str">
        <f>+IFERROR(VLOOKUP(C104,Hoja1!$A$1:$L$82,12,0),"")</f>
        <v/>
      </c>
      <c r="I104" s="30"/>
      <c r="J104" s="47">
        <v>90</v>
      </c>
      <c r="K104" s="46"/>
      <c r="M104" s="44"/>
      <c r="N104" s="32"/>
      <c r="O104" s="32"/>
      <c r="P104" s="32"/>
      <c r="Q104" s="32"/>
      <c r="R104" s="32"/>
      <c r="S104" s="32"/>
    </row>
    <row r="105" spans="2:19" s="26" customFormat="1" ht="99.75" customHeight="1">
      <c r="B105" s="91">
        <f t="shared" si="2"/>
        <v>91</v>
      </c>
      <c r="C105" s="92" t="str">
        <f>+IFERROR(INDEX(Hoja1!$A$2:$A$82,MATCH(J105,Hoja1!$H$2:$H$82,0)),"")</f>
        <v/>
      </c>
      <c r="D105" s="93" t="str">
        <f>IFERROR(VLOOKUP(C105,Hoja1!$A$2:$H$82,4,0),"")</f>
        <v/>
      </c>
      <c r="E105" s="93" t="str">
        <f>+IFERROR(VLOOKUP(C105,Hoja1!$A$1:$J$82,10,0),"")</f>
        <v/>
      </c>
      <c r="F105" s="93" t="str">
        <f>+IFERROR(VLOOKUP(C105,Hoja1!$A$1:$I$82,3,0),"")</f>
        <v/>
      </c>
      <c r="G105" s="92" t="str">
        <f>+IFERROR(VLOOKUP(C105,Hoja1!$A$1:$K$82,11,0),"")</f>
        <v/>
      </c>
      <c r="H105" s="94" t="str">
        <f>+IFERROR(VLOOKUP(C105,Hoja1!$A$1:$L$82,12,0),"")</f>
        <v/>
      </c>
      <c r="I105" s="30"/>
      <c r="J105" s="47">
        <v>91</v>
      </c>
      <c r="K105" s="46"/>
      <c r="M105" s="44"/>
      <c r="N105" s="32"/>
      <c r="O105" s="32"/>
      <c r="P105" s="32"/>
      <c r="Q105" s="32"/>
      <c r="R105" s="32"/>
      <c r="S105" s="32"/>
    </row>
    <row r="106" spans="2:19" s="26" customFormat="1" ht="99.75" customHeight="1">
      <c r="B106" s="91">
        <f t="shared" si="2"/>
        <v>92</v>
      </c>
      <c r="C106" s="92" t="str">
        <f>+IFERROR(INDEX(Hoja1!$A$2:$A$82,MATCH(J106,Hoja1!$H$2:$H$82,0)),"")</f>
        <v/>
      </c>
      <c r="D106" s="93" t="str">
        <f>IFERROR(VLOOKUP(C106,Hoja1!$A$2:$H$82,4,0),"")</f>
        <v/>
      </c>
      <c r="E106" s="93" t="str">
        <f>+IFERROR(VLOOKUP(C106,Hoja1!$A$1:$J$82,10,0),"")</f>
        <v/>
      </c>
      <c r="F106" s="93" t="str">
        <f>+IFERROR(VLOOKUP(C106,Hoja1!$A$1:$I$82,3,0),"")</f>
        <v/>
      </c>
      <c r="G106" s="92" t="str">
        <f>+IFERROR(VLOOKUP(C106,Hoja1!$A$1:$K$82,11,0),"")</f>
        <v/>
      </c>
      <c r="H106" s="94" t="str">
        <f>+IFERROR(VLOOKUP(C106,Hoja1!$A$1:$L$82,12,0),"")</f>
        <v/>
      </c>
      <c r="I106" s="30"/>
      <c r="J106" s="47">
        <v>92</v>
      </c>
      <c r="K106" s="46"/>
      <c r="M106" s="44"/>
      <c r="N106" s="32"/>
      <c r="O106" s="32"/>
      <c r="P106" s="32"/>
      <c r="Q106" s="32"/>
      <c r="R106" s="32"/>
      <c r="S106" s="32"/>
    </row>
    <row r="107" spans="2:19" s="26" customFormat="1" ht="99.75" customHeight="1">
      <c r="B107" s="91">
        <f t="shared" si="2"/>
        <v>93</v>
      </c>
      <c r="C107" s="92" t="str">
        <f>+IFERROR(INDEX(Hoja1!$A$2:$A$82,MATCH(J107,Hoja1!$H$2:$H$82,0)),"")</f>
        <v/>
      </c>
      <c r="D107" s="93" t="str">
        <f>IFERROR(VLOOKUP(C107,Hoja1!$A$2:$H$82,4,0),"")</f>
        <v/>
      </c>
      <c r="E107" s="93" t="str">
        <f>+IFERROR(VLOOKUP(C107,Hoja1!$A$1:$J$82,10,0),"")</f>
        <v/>
      </c>
      <c r="F107" s="93" t="str">
        <f>+IFERROR(VLOOKUP(C107,Hoja1!$A$1:$I$82,3,0),"")</f>
        <v/>
      </c>
      <c r="G107" s="92" t="str">
        <f>+IFERROR(VLOOKUP(C107,Hoja1!$A$1:$K$82,11,0),"")</f>
        <v/>
      </c>
      <c r="H107" s="94" t="str">
        <f>+IFERROR(VLOOKUP(C107,Hoja1!$A$1:$L$82,12,0),"")</f>
        <v/>
      </c>
      <c r="I107" s="30"/>
      <c r="J107" s="47">
        <v>93</v>
      </c>
      <c r="K107" s="46"/>
      <c r="M107" s="44"/>
      <c r="N107" s="32"/>
      <c r="O107" s="32"/>
      <c r="P107" s="32"/>
      <c r="Q107" s="32"/>
      <c r="R107" s="32"/>
      <c r="S107" s="32"/>
    </row>
    <row r="108" spans="2:19" s="26" customFormat="1" ht="99.75" customHeight="1">
      <c r="B108" s="95">
        <f t="shared" si="2"/>
        <v>94</v>
      </c>
      <c r="C108" s="92" t="str">
        <f>+IFERROR(INDEX(Hoja1!$A$2:$A$82,MATCH(J108,Hoja1!$H$2:$H$82,0)),"")</f>
        <v/>
      </c>
      <c r="D108" s="93" t="str">
        <f>IFERROR(VLOOKUP(C108,Hoja1!$A$2:$H$82,4,0),"")</f>
        <v/>
      </c>
      <c r="E108" s="93" t="str">
        <f>+IFERROR(VLOOKUP(C108,Hoja1!$A$1:$J$82,10,0),"")</f>
        <v/>
      </c>
      <c r="F108" s="93" t="str">
        <f>+IFERROR(VLOOKUP(C108,Hoja1!$A$1:$I$82,3,0),"")</f>
        <v/>
      </c>
      <c r="G108" s="92" t="str">
        <f>+IFERROR(VLOOKUP(C108,Hoja1!$A$1:$K$82,11,0),"")</f>
        <v/>
      </c>
      <c r="H108" s="94" t="str">
        <f>+IFERROR(VLOOKUP(C108,Hoja1!$A$1:$L$82,12,0),"")</f>
        <v/>
      </c>
      <c r="I108" s="30"/>
      <c r="J108" s="47">
        <v>94</v>
      </c>
      <c r="K108" s="46"/>
      <c r="M108" s="44"/>
      <c r="N108" s="32"/>
      <c r="O108" s="32"/>
      <c r="P108" s="32"/>
      <c r="Q108" s="32"/>
      <c r="R108" s="32"/>
      <c r="S108" s="32"/>
    </row>
    <row r="109" spans="2:19" s="26" customFormat="1" ht="99.75" customHeight="1">
      <c r="B109" s="91">
        <f t="shared" si="2"/>
        <v>95</v>
      </c>
      <c r="C109" s="92" t="str">
        <f>+IFERROR(INDEX(Hoja1!$A$2:$A$82,MATCH(J109,Hoja1!$H$2:$H$82,0)),"")</f>
        <v/>
      </c>
      <c r="D109" s="93" t="str">
        <f>IFERROR(VLOOKUP(C109,Hoja1!$A$2:$H$82,4,0),"")</f>
        <v/>
      </c>
      <c r="E109" s="93" t="str">
        <f>+IFERROR(VLOOKUP(C109,Hoja1!$A$1:$J$82,10,0),"")</f>
        <v/>
      </c>
      <c r="F109" s="93" t="str">
        <f>+IFERROR(VLOOKUP(C109,Hoja1!$A$1:$I$82,3,0),"")</f>
        <v/>
      </c>
      <c r="G109" s="92" t="str">
        <f>+IFERROR(VLOOKUP(C109,Hoja1!$A$1:$K$82,11,0),"")</f>
        <v/>
      </c>
      <c r="H109" s="94" t="str">
        <f>+IFERROR(VLOOKUP(C109,Hoja1!$A$1:$L$82,12,0),"")</f>
        <v/>
      </c>
      <c r="I109" s="30"/>
      <c r="J109" s="47">
        <v>95</v>
      </c>
      <c r="K109" s="46"/>
      <c r="M109" s="44"/>
      <c r="N109" s="32"/>
      <c r="O109" s="32"/>
      <c r="P109" s="32"/>
      <c r="Q109" s="32"/>
      <c r="R109" s="32"/>
      <c r="S109" s="32"/>
    </row>
    <row r="110" spans="2:19" s="26" customFormat="1" ht="99.75" customHeight="1">
      <c r="B110" s="95">
        <f t="shared" si="2"/>
        <v>96</v>
      </c>
      <c r="C110" s="92" t="str">
        <f>+IFERROR(INDEX(Hoja1!$A$2:$A$82,MATCH(J110,Hoja1!$H$2:$H$82,0)),"")</f>
        <v/>
      </c>
      <c r="D110" s="93" t="str">
        <f>IFERROR(VLOOKUP(C110,Hoja1!$A$2:$H$82,4,0),"")</f>
        <v/>
      </c>
      <c r="E110" s="93" t="str">
        <f>+IFERROR(VLOOKUP(C110,Hoja1!$A$1:$J$82,10,0),"")</f>
        <v/>
      </c>
      <c r="F110" s="93" t="str">
        <f>+IFERROR(VLOOKUP(C110,Hoja1!$A$1:$I$82,3,0),"")</f>
        <v/>
      </c>
      <c r="G110" s="92" t="str">
        <f>+IFERROR(VLOOKUP(C110,Hoja1!$A$1:$K$82,11,0),"")</f>
        <v/>
      </c>
      <c r="H110" s="94" t="str">
        <f>+IFERROR(VLOOKUP(C110,Hoja1!$A$1:$L$82,12,0),"")</f>
        <v/>
      </c>
      <c r="I110" s="30"/>
      <c r="J110" s="47">
        <v>96</v>
      </c>
      <c r="K110" s="46"/>
      <c r="M110" s="44"/>
      <c r="N110" s="32"/>
      <c r="O110" s="32"/>
      <c r="P110" s="32"/>
      <c r="Q110" s="32"/>
      <c r="R110" s="32"/>
      <c r="S110" s="32"/>
    </row>
    <row r="111" spans="2:19" s="26" customFormat="1" ht="99.75" customHeight="1">
      <c r="B111" s="91">
        <f t="shared" si="2"/>
        <v>97</v>
      </c>
      <c r="C111" s="92" t="str">
        <f>+IFERROR(INDEX(Hoja1!$A$2:$A$82,MATCH(J111,Hoja1!$H$2:$H$82,0)),"")</f>
        <v/>
      </c>
      <c r="D111" s="93" t="str">
        <f>IFERROR(VLOOKUP(C111,Hoja1!$A$2:$H$82,4,0),"")</f>
        <v/>
      </c>
      <c r="E111" s="93" t="str">
        <f>+IFERROR(VLOOKUP(C111,Hoja1!$A$1:$J$82,10,0),"")</f>
        <v/>
      </c>
      <c r="F111" s="93" t="str">
        <f>+IFERROR(VLOOKUP(C111,Hoja1!$A$1:$I$82,3,0),"")</f>
        <v/>
      </c>
      <c r="G111" s="92" t="str">
        <f>+IFERROR(VLOOKUP(C111,Hoja1!$A$1:$K$82,11,0),"")</f>
        <v/>
      </c>
      <c r="H111" s="94" t="str">
        <f>+IFERROR(VLOOKUP(C111,Hoja1!$A$1:$L$82,12,0),"")</f>
        <v/>
      </c>
      <c r="I111" s="30"/>
      <c r="J111" s="47">
        <v>97</v>
      </c>
      <c r="K111" s="46"/>
      <c r="M111" s="44"/>
      <c r="N111" s="32"/>
      <c r="O111" s="32"/>
      <c r="P111" s="32"/>
      <c r="Q111" s="32"/>
      <c r="R111" s="32"/>
      <c r="S111" s="32"/>
    </row>
    <row r="112" spans="2:19" s="26" customFormat="1" ht="99.75" customHeight="1">
      <c r="B112" s="91">
        <f t="shared" si="2"/>
        <v>98</v>
      </c>
      <c r="C112" s="92" t="str">
        <f>+IFERROR(INDEX(Hoja1!$A$2:$A$82,MATCH(J112,Hoja1!$H$2:$H$82,0)),"")</f>
        <v/>
      </c>
      <c r="D112" s="93" t="str">
        <f>IFERROR(VLOOKUP(C112,Hoja1!$A$2:$H$82,4,0),"")</f>
        <v/>
      </c>
      <c r="E112" s="93" t="str">
        <f>+IFERROR(VLOOKUP(C112,Hoja1!$A$1:$J$82,10,0),"")</f>
        <v/>
      </c>
      <c r="F112" s="93" t="str">
        <f>+IFERROR(VLOOKUP(C112,Hoja1!$A$1:$I$82,3,0),"")</f>
        <v/>
      </c>
      <c r="G112" s="92" t="str">
        <f>+IFERROR(VLOOKUP(C112,Hoja1!$A$1:$K$82,11,0),"")</f>
        <v/>
      </c>
      <c r="H112" s="94" t="str">
        <f>+IFERROR(VLOOKUP(C112,Hoja1!$A$1:$L$82,12,0),"")</f>
        <v/>
      </c>
      <c r="I112" s="30"/>
      <c r="J112" s="47">
        <v>98</v>
      </c>
      <c r="K112" s="46"/>
      <c r="M112" s="44"/>
      <c r="N112" s="32"/>
      <c r="O112" s="32"/>
      <c r="P112" s="32"/>
      <c r="Q112" s="32"/>
      <c r="R112" s="32"/>
      <c r="S112" s="32"/>
    </row>
    <row r="113" spans="2:19" s="26" customFormat="1" ht="99.75" customHeight="1">
      <c r="B113" s="91">
        <f t="shared" si="2"/>
        <v>99</v>
      </c>
      <c r="C113" s="92" t="str">
        <f>+IFERROR(INDEX(Hoja1!$A$2:$A$82,MATCH(J113,Hoja1!$H$2:$H$82,0)),"")</f>
        <v/>
      </c>
      <c r="D113" s="93" t="str">
        <f>IFERROR(VLOOKUP(C113,Hoja1!$A$2:$H$82,4,0),"")</f>
        <v/>
      </c>
      <c r="E113" s="93" t="str">
        <f>+IFERROR(VLOOKUP(C113,Hoja1!$A$1:$J$82,10,0),"")</f>
        <v/>
      </c>
      <c r="F113" s="93" t="str">
        <f>+IFERROR(VLOOKUP(C113,Hoja1!$A$1:$I$82,3,0),"")</f>
        <v/>
      </c>
      <c r="G113" s="92" t="str">
        <f>+IFERROR(VLOOKUP(C113,Hoja1!$A$1:$K$82,11,0),"")</f>
        <v/>
      </c>
      <c r="H113" s="94" t="str">
        <f>+IFERROR(VLOOKUP(C113,Hoja1!$A$1:$L$82,12,0),"")</f>
        <v/>
      </c>
      <c r="I113" s="30"/>
      <c r="J113" s="47">
        <v>99</v>
      </c>
      <c r="K113" s="46"/>
      <c r="M113" s="44"/>
      <c r="N113" s="32"/>
      <c r="O113" s="32"/>
      <c r="P113" s="32"/>
      <c r="Q113" s="32"/>
      <c r="R113" s="32"/>
      <c r="S113" s="32"/>
    </row>
    <row r="114" spans="2:19" s="26" customFormat="1" ht="99.75" customHeight="1">
      <c r="B114" s="91">
        <f t="shared" si="2"/>
        <v>100</v>
      </c>
      <c r="C114" s="92" t="str">
        <f>+IFERROR(INDEX(Hoja1!$A$2:$A$82,MATCH(J114,Hoja1!$H$2:$H$82,0)),"")</f>
        <v/>
      </c>
      <c r="D114" s="93" t="str">
        <f>IFERROR(VLOOKUP(C114,Hoja1!$A$2:$H$82,4,0),"")</f>
        <v/>
      </c>
      <c r="E114" s="93" t="str">
        <f>+IFERROR(VLOOKUP(C114,Hoja1!$A$1:$J$82,10,0),"")</f>
        <v/>
      </c>
      <c r="F114" s="93" t="str">
        <f>+IFERROR(VLOOKUP(C114,Hoja1!$A$1:$I$82,3,0),"")</f>
        <v/>
      </c>
      <c r="G114" s="92" t="str">
        <f>+IFERROR(VLOOKUP(C114,Hoja1!$A$1:$K$82,11,0),"")</f>
        <v/>
      </c>
      <c r="H114" s="94" t="str">
        <f>+IFERROR(VLOOKUP(C114,Hoja1!$A$1:$L$82,12,0),"")</f>
        <v/>
      </c>
      <c r="I114" s="30"/>
      <c r="J114" s="47">
        <v>100</v>
      </c>
      <c r="K114" s="46"/>
      <c r="M114" s="44"/>
      <c r="N114" s="32"/>
      <c r="O114" s="32"/>
      <c r="P114" s="32"/>
      <c r="Q114" s="32"/>
      <c r="R114" s="32"/>
      <c r="S114" s="32"/>
    </row>
    <row r="115" spans="2:19" s="26" customFormat="1" ht="99.75" customHeight="1">
      <c r="B115" s="95">
        <f t="shared" si="2"/>
        <v>101</v>
      </c>
      <c r="C115" s="92" t="str">
        <f>+IFERROR(INDEX(Hoja1!$A$2:$A$82,MATCH(J115,Hoja1!$H$2:$H$82,0)),"")</f>
        <v/>
      </c>
      <c r="D115" s="93" t="str">
        <f>IFERROR(VLOOKUP(C115,Hoja1!$A$2:$H$82,4,0),"")</f>
        <v/>
      </c>
      <c r="E115" s="93" t="str">
        <f>+IFERROR(VLOOKUP(C115,Hoja1!$A$1:$J$82,10,0),"")</f>
        <v/>
      </c>
      <c r="F115" s="93" t="str">
        <f>+IFERROR(VLOOKUP(C115,Hoja1!$A$1:$I$82,3,0),"")</f>
        <v/>
      </c>
      <c r="G115" s="92" t="str">
        <f>+IFERROR(VLOOKUP(C115,Hoja1!$A$1:$K$82,11,0),"")</f>
        <v/>
      </c>
      <c r="H115" s="94" t="str">
        <f>+IFERROR(VLOOKUP(C115,Hoja1!$A$1:$L$82,12,0),"")</f>
        <v/>
      </c>
      <c r="I115" s="30"/>
      <c r="J115" s="47">
        <v>101</v>
      </c>
      <c r="K115" s="46"/>
      <c r="M115" s="44"/>
      <c r="N115" s="32"/>
      <c r="O115" s="32"/>
      <c r="P115" s="32"/>
      <c r="Q115" s="32"/>
      <c r="R115" s="32"/>
      <c r="S115" s="32"/>
    </row>
    <row r="116" spans="2:19" s="26" customFormat="1" ht="99.75" customHeight="1">
      <c r="B116" s="91">
        <f t="shared" si="2"/>
        <v>102</v>
      </c>
      <c r="C116" s="92" t="str">
        <f>+IFERROR(INDEX(Hoja1!$A$2:$A$82,MATCH(J116,Hoja1!$H$2:$H$82,0)),"")</f>
        <v/>
      </c>
      <c r="D116" s="93" t="str">
        <f>IFERROR(VLOOKUP(C116,Hoja1!$A$2:$H$82,4,0),"")</f>
        <v/>
      </c>
      <c r="E116" s="93" t="str">
        <f>+IFERROR(VLOOKUP(C116,Hoja1!$A$1:$J$82,10,0),"")</f>
        <v/>
      </c>
      <c r="F116" s="93" t="str">
        <f>+IFERROR(VLOOKUP(C116,Hoja1!$A$1:$I$82,3,0),"")</f>
        <v/>
      </c>
      <c r="G116" s="92" t="str">
        <f>+IFERROR(VLOOKUP(C116,Hoja1!$A$1:$K$82,11,0),"")</f>
        <v/>
      </c>
      <c r="H116" s="94" t="str">
        <f>+IFERROR(VLOOKUP(C116,Hoja1!$A$1:$L$82,12,0),"")</f>
        <v/>
      </c>
      <c r="I116" s="30"/>
      <c r="J116" s="47">
        <v>102</v>
      </c>
      <c r="K116" s="46"/>
      <c r="M116" s="44"/>
      <c r="N116" s="32"/>
      <c r="O116" s="32"/>
      <c r="P116" s="32"/>
      <c r="Q116" s="32"/>
      <c r="R116" s="32"/>
      <c r="S116" s="32"/>
    </row>
    <row r="117" spans="2:19" s="26" customFormat="1" ht="99.75" customHeight="1">
      <c r="B117" s="91">
        <f t="shared" si="2"/>
        <v>103</v>
      </c>
      <c r="C117" s="92" t="str">
        <f>+IFERROR(INDEX(Hoja1!$A$2:$A$82,MATCH(J117,Hoja1!$H$2:$H$82,0)),"")</f>
        <v/>
      </c>
      <c r="D117" s="93" t="str">
        <f>IFERROR(VLOOKUP(C117,Hoja1!$A$2:$H$82,4,0),"")</f>
        <v/>
      </c>
      <c r="E117" s="93" t="str">
        <f>+IFERROR(VLOOKUP(C117,Hoja1!$A$1:$J$82,10,0),"")</f>
        <v/>
      </c>
      <c r="F117" s="93" t="str">
        <f>+IFERROR(VLOOKUP(C117,Hoja1!$A$1:$I$82,3,0),"")</f>
        <v/>
      </c>
      <c r="G117" s="92" t="str">
        <f>+IFERROR(VLOOKUP(C117,Hoja1!$A$1:$K$82,11,0),"")</f>
        <v/>
      </c>
      <c r="H117" s="94" t="str">
        <f>+IFERROR(VLOOKUP(C117,Hoja1!$A$1:$L$82,12,0),"")</f>
        <v/>
      </c>
      <c r="I117" s="30"/>
      <c r="J117" s="47">
        <v>103</v>
      </c>
      <c r="K117" s="46"/>
      <c r="M117" s="44"/>
      <c r="N117" s="32"/>
      <c r="O117" s="32"/>
      <c r="P117" s="32"/>
      <c r="Q117" s="32"/>
      <c r="R117" s="32"/>
      <c r="S117" s="32"/>
    </row>
    <row r="118" spans="2:19" s="26" customFormat="1" ht="99.75" customHeight="1">
      <c r="B118" s="91">
        <f t="shared" si="2"/>
        <v>104</v>
      </c>
      <c r="C118" s="92" t="str">
        <f>+IFERROR(INDEX(Hoja1!$A$2:$A$82,MATCH(J118,Hoja1!$H$2:$H$82,0)),"")</f>
        <v/>
      </c>
      <c r="D118" s="93" t="str">
        <f>IFERROR(VLOOKUP(C118,Hoja1!$A$2:$H$82,4,0),"")</f>
        <v/>
      </c>
      <c r="E118" s="93" t="str">
        <f>+IFERROR(VLOOKUP(C118,Hoja1!$A$1:$J$82,10,0),"")</f>
        <v/>
      </c>
      <c r="F118" s="93" t="str">
        <f>+IFERROR(VLOOKUP(C118,Hoja1!$A$1:$I$82,3,0),"")</f>
        <v/>
      </c>
      <c r="G118" s="92" t="str">
        <f>+IFERROR(VLOOKUP(C118,Hoja1!$A$1:$K$82,11,0),"")</f>
        <v/>
      </c>
      <c r="H118" s="94" t="str">
        <f>+IFERROR(VLOOKUP(C118,Hoja1!$A$1:$L$82,12,0),"")</f>
        <v/>
      </c>
      <c r="I118" s="30"/>
      <c r="J118" s="47">
        <v>104</v>
      </c>
      <c r="K118" s="46"/>
      <c r="M118" s="44"/>
      <c r="N118" s="32"/>
      <c r="O118" s="32"/>
      <c r="P118" s="32"/>
      <c r="Q118" s="32"/>
      <c r="R118" s="32"/>
      <c r="S118" s="32"/>
    </row>
    <row r="119" spans="2:19" s="26" customFormat="1" ht="99.75" customHeight="1">
      <c r="B119" s="91">
        <f t="shared" si="2"/>
        <v>105</v>
      </c>
      <c r="C119" s="92" t="str">
        <f>+IFERROR(INDEX(Hoja1!$A$2:$A$82,MATCH(J119,Hoja1!$H$2:$H$82,0)),"")</f>
        <v/>
      </c>
      <c r="D119" s="93" t="str">
        <f>IFERROR(VLOOKUP(C119,Hoja1!$A$2:$H$82,4,0),"")</f>
        <v/>
      </c>
      <c r="E119" s="93" t="str">
        <f>+IFERROR(VLOOKUP(C119,Hoja1!$A$1:$J$82,10,0),"")</f>
        <v/>
      </c>
      <c r="F119" s="93" t="str">
        <f>+IFERROR(VLOOKUP(C119,Hoja1!$A$1:$I$82,3,0),"")</f>
        <v/>
      </c>
      <c r="G119" s="92" t="str">
        <f>+IFERROR(VLOOKUP(C119,Hoja1!$A$1:$K$82,11,0),"")</f>
        <v/>
      </c>
      <c r="H119" s="94" t="str">
        <f>+IFERROR(VLOOKUP(C119,Hoja1!$A$1:$L$82,12,0),"")</f>
        <v/>
      </c>
      <c r="I119" s="30"/>
      <c r="J119" s="47">
        <v>105</v>
      </c>
      <c r="K119" s="46"/>
      <c r="M119" s="44"/>
      <c r="N119" s="32"/>
      <c r="O119" s="32"/>
      <c r="P119" s="32"/>
      <c r="Q119" s="32"/>
      <c r="R119" s="32"/>
      <c r="S119" s="32"/>
    </row>
    <row r="120" spans="2:19" s="26" customFormat="1" ht="99.75" customHeight="1">
      <c r="B120" s="95">
        <f t="shared" si="2"/>
        <v>106</v>
      </c>
      <c r="C120" s="92" t="str">
        <f>+IFERROR(INDEX(Hoja1!$A$2:$A$82,MATCH(J120,Hoja1!$H$2:$H$82,0)),"")</f>
        <v/>
      </c>
      <c r="D120" s="93" t="str">
        <f>IFERROR(VLOOKUP(C120,Hoja1!$A$2:$H$82,4,0),"")</f>
        <v/>
      </c>
      <c r="E120" s="93" t="str">
        <f>+IFERROR(VLOOKUP(C120,Hoja1!$A$1:$J$82,10,0),"")</f>
        <v/>
      </c>
      <c r="F120" s="93" t="str">
        <f>+IFERROR(VLOOKUP(C120,Hoja1!$A$1:$I$82,3,0),"")</f>
        <v/>
      </c>
      <c r="G120" s="92" t="str">
        <f>+IFERROR(VLOOKUP(C120,Hoja1!$A$1:$K$82,11,0),"")</f>
        <v/>
      </c>
      <c r="H120" s="94" t="str">
        <f>+IFERROR(VLOOKUP(C120,Hoja1!$A$1:$L$82,12,0),"")</f>
        <v/>
      </c>
      <c r="I120" s="30"/>
      <c r="J120" s="47">
        <v>106</v>
      </c>
      <c r="K120" s="46"/>
      <c r="M120" s="44"/>
      <c r="N120" s="32"/>
      <c r="O120" s="32"/>
      <c r="P120" s="32"/>
      <c r="Q120" s="32"/>
      <c r="R120" s="32"/>
      <c r="S120" s="32"/>
    </row>
    <row r="121" spans="2:19" s="26" customFormat="1" ht="99.75" customHeight="1">
      <c r="B121" s="91">
        <f t="shared" si="2"/>
        <v>107</v>
      </c>
      <c r="C121" s="92" t="str">
        <f>+IFERROR(INDEX(Hoja1!$A$2:$A$82,MATCH(J121,Hoja1!$H$2:$H$82,0)),"")</f>
        <v/>
      </c>
      <c r="D121" s="93" t="str">
        <f>IFERROR(VLOOKUP(C121,Hoja1!$A$2:$H$82,4,0),"")</f>
        <v/>
      </c>
      <c r="E121" s="93" t="str">
        <f>+IFERROR(VLOOKUP(C121,Hoja1!$A$1:$J$82,10,0),"")</f>
        <v/>
      </c>
      <c r="F121" s="93" t="str">
        <f>+IFERROR(VLOOKUP(C121,Hoja1!$A$1:$I$82,3,0),"")</f>
        <v/>
      </c>
      <c r="G121" s="92" t="str">
        <f>+IFERROR(VLOOKUP(C121,Hoja1!$A$1:$K$82,11,0),"")</f>
        <v/>
      </c>
      <c r="H121" s="94" t="str">
        <f>+IFERROR(VLOOKUP(C121,Hoja1!$A$1:$L$82,12,0),"")</f>
        <v/>
      </c>
      <c r="I121" s="30"/>
      <c r="J121" s="47">
        <v>107</v>
      </c>
      <c r="K121" s="46"/>
      <c r="M121" s="44"/>
      <c r="N121" s="32"/>
      <c r="O121" s="32"/>
      <c r="P121" s="32"/>
      <c r="Q121" s="32"/>
      <c r="R121" s="32"/>
      <c r="S121" s="32"/>
    </row>
    <row r="122" spans="2:19" s="26" customFormat="1" ht="99.75" customHeight="1">
      <c r="B122" s="91">
        <f t="shared" si="2"/>
        <v>108</v>
      </c>
      <c r="C122" s="92" t="str">
        <f>+IFERROR(INDEX(Hoja1!$A$2:$A$82,MATCH(J122,Hoja1!$H$2:$H$82,0)),"")</f>
        <v/>
      </c>
      <c r="D122" s="93" t="str">
        <f>IFERROR(VLOOKUP(C122,Hoja1!$A$2:$H$82,4,0),"")</f>
        <v/>
      </c>
      <c r="E122" s="93" t="str">
        <f>+IFERROR(VLOOKUP(C122,Hoja1!$A$1:$J$82,10,0),"")</f>
        <v/>
      </c>
      <c r="F122" s="93" t="str">
        <f>+IFERROR(VLOOKUP(C122,Hoja1!$A$1:$I$82,3,0),"")</f>
        <v/>
      </c>
      <c r="G122" s="92" t="str">
        <f>+IFERROR(VLOOKUP(C122,Hoja1!$A$1:$K$82,11,0),"")</f>
        <v/>
      </c>
      <c r="H122" s="94" t="str">
        <f>+IFERROR(VLOOKUP(C122,Hoja1!$A$1:$L$82,12,0),"")</f>
        <v/>
      </c>
      <c r="I122" s="30"/>
      <c r="J122" s="47">
        <v>108</v>
      </c>
      <c r="K122" s="46"/>
      <c r="M122" s="44"/>
      <c r="N122" s="32"/>
      <c r="O122" s="32"/>
      <c r="P122" s="32"/>
      <c r="Q122" s="32"/>
      <c r="R122" s="32"/>
      <c r="S122" s="32"/>
    </row>
    <row r="123" spans="2:19" s="26" customFormat="1" ht="99.75" customHeight="1">
      <c r="B123" s="91">
        <f t="shared" si="2"/>
        <v>109</v>
      </c>
      <c r="C123" s="92" t="str">
        <f>+IFERROR(INDEX(Hoja1!$A$2:$A$82,MATCH(J123,Hoja1!$H$2:$H$82,0)),"")</f>
        <v/>
      </c>
      <c r="D123" s="93" t="str">
        <f>IFERROR(VLOOKUP(C123,Hoja1!$A$2:$H$82,4,0),"")</f>
        <v/>
      </c>
      <c r="E123" s="93" t="str">
        <f>+IFERROR(VLOOKUP(C123,Hoja1!$A$1:$J$82,10,0),"")</f>
        <v/>
      </c>
      <c r="F123" s="93" t="str">
        <f>+IFERROR(VLOOKUP(C123,Hoja1!$A$1:$I$82,3,0),"")</f>
        <v/>
      </c>
      <c r="G123" s="92" t="str">
        <f>+IFERROR(VLOOKUP(C123,Hoja1!$A$1:$K$82,11,0),"")</f>
        <v/>
      </c>
      <c r="H123" s="94" t="str">
        <f>+IFERROR(VLOOKUP(C123,Hoja1!$A$1:$L$82,12,0),"")</f>
        <v/>
      </c>
      <c r="I123" s="30"/>
      <c r="J123" s="47">
        <v>109</v>
      </c>
      <c r="K123" s="46"/>
      <c r="M123" s="44"/>
      <c r="N123" s="32"/>
      <c r="O123" s="32"/>
      <c r="P123" s="32"/>
      <c r="Q123" s="32"/>
      <c r="R123" s="32"/>
      <c r="S123" s="32"/>
    </row>
    <row r="124" spans="2:19" s="26" customFormat="1" ht="99.75" customHeight="1">
      <c r="B124" s="91">
        <f t="shared" si="2"/>
        <v>110</v>
      </c>
      <c r="C124" s="92" t="str">
        <f>+IFERROR(INDEX(Hoja1!$A$2:$A$82,MATCH(J124,Hoja1!$H$2:$H$82,0)),"")</f>
        <v/>
      </c>
      <c r="D124" s="93" t="str">
        <f>IFERROR(VLOOKUP(C124,Hoja1!$A$2:$H$82,4,0),"")</f>
        <v/>
      </c>
      <c r="E124" s="93" t="str">
        <f>+IFERROR(VLOOKUP(C124,Hoja1!$A$1:$J$82,10,0),"")</f>
        <v/>
      </c>
      <c r="F124" s="93" t="str">
        <f>+IFERROR(VLOOKUP(C124,Hoja1!$A$1:$I$82,3,0),"")</f>
        <v/>
      </c>
      <c r="G124" s="92" t="str">
        <f>+IFERROR(VLOOKUP(C124,Hoja1!$A$1:$K$82,11,0),"")</f>
        <v/>
      </c>
      <c r="H124" s="94" t="str">
        <f>+IFERROR(VLOOKUP(C124,Hoja1!$A$1:$L$82,12,0),"")</f>
        <v/>
      </c>
      <c r="I124" s="30"/>
      <c r="J124" s="47">
        <v>110</v>
      </c>
      <c r="K124" s="46"/>
      <c r="M124" s="44"/>
      <c r="N124" s="32"/>
      <c r="O124" s="32"/>
      <c r="P124" s="32"/>
      <c r="Q124" s="32"/>
      <c r="R124" s="32"/>
      <c r="S124" s="32"/>
    </row>
    <row r="125" spans="2:19" s="26" customFormat="1" ht="99.75" customHeight="1">
      <c r="B125" s="95">
        <f t="shared" si="2"/>
        <v>111</v>
      </c>
      <c r="C125" s="92" t="str">
        <f>+IFERROR(INDEX(Hoja1!$A$2:$A$82,MATCH(J125,Hoja1!$H$2:$H$82,0)),"")</f>
        <v/>
      </c>
      <c r="D125" s="93" t="str">
        <f>IFERROR(VLOOKUP(C125,Hoja1!$A$2:$H$82,4,0),"")</f>
        <v/>
      </c>
      <c r="E125" s="93" t="str">
        <f>+IFERROR(VLOOKUP(C125,Hoja1!$A$1:$J$82,10,0),"")</f>
        <v/>
      </c>
      <c r="F125" s="93" t="str">
        <f>+IFERROR(VLOOKUP(C125,Hoja1!$A$1:$I$82,3,0),"")</f>
        <v/>
      </c>
      <c r="G125" s="92" t="str">
        <f>+IFERROR(VLOOKUP(C125,Hoja1!$A$1:$K$82,11,0),"")</f>
        <v/>
      </c>
      <c r="H125" s="94" t="str">
        <f>+IFERROR(VLOOKUP(C125,Hoja1!$A$1:$L$82,12,0),"")</f>
        <v/>
      </c>
      <c r="I125" s="30"/>
      <c r="J125" s="47">
        <v>111</v>
      </c>
      <c r="K125" s="46"/>
      <c r="M125" s="44"/>
      <c r="N125" s="32"/>
      <c r="O125" s="32"/>
      <c r="P125" s="32"/>
      <c r="Q125" s="32"/>
      <c r="R125" s="32"/>
      <c r="S125" s="32"/>
    </row>
    <row r="126" spans="2:19" s="26" customFormat="1" ht="99.75" customHeight="1">
      <c r="B126" s="91">
        <f t="shared" si="2"/>
        <v>112</v>
      </c>
      <c r="C126" s="92" t="str">
        <f>+IFERROR(INDEX(Hoja1!$A$2:$A$82,MATCH(J126,Hoja1!$H$2:$H$82,0)),"")</f>
        <v/>
      </c>
      <c r="D126" s="93" t="str">
        <f>IFERROR(VLOOKUP(C126,Hoja1!$A$2:$H$82,4,0),"")</f>
        <v/>
      </c>
      <c r="E126" s="93" t="str">
        <f>+IFERROR(VLOOKUP(C126,Hoja1!$A$1:$J$82,10,0),"")</f>
        <v/>
      </c>
      <c r="F126" s="93" t="str">
        <f>+IFERROR(VLOOKUP(C126,Hoja1!$A$1:$I$82,3,0),"")</f>
        <v/>
      </c>
      <c r="G126" s="92" t="str">
        <f>+IFERROR(VLOOKUP(C126,Hoja1!$A$1:$K$82,11,0),"")</f>
        <v/>
      </c>
      <c r="H126" s="94" t="str">
        <f>+IFERROR(VLOOKUP(C126,Hoja1!$A$1:$L$82,12,0),"")</f>
        <v/>
      </c>
      <c r="I126" s="30"/>
      <c r="J126" s="47">
        <v>112</v>
      </c>
      <c r="K126" s="46"/>
      <c r="M126" s="44"/>
      <c r="N126" s="32"/>
      <c r="O126" s="32"/>
      <c r="P126" s="32"/>
      <c r="Q126" s="32"/>
      <c r="R126" s="32"/>
      <c r="S126" s="32"/>
    </row>
    <row r="127" spans="2:19" s="26" customFormat="1" ht="99.75" customHeight="1">
      <c r="B127" s="91">
        <f t="shared" si="2"/>
        <v>113</v>
      </c>
      <c r="C127" s="92" t="str">
        <f>+IFERROR(INDEX(Hoja1!$A$2:$A$82,MATCH(J127,Hoja1!$H$2:$H$82,0)),"")</f>
        <v/>
      </c>
      <c r="D127" s="93" t="str">
        <f>IFERROR(VLOOKUP(C127,Hoja1!$A$2:$H$82,4,0),"")</f>
        <v/>
      </c>
      <c r="E127" s="93" t="str">
        <f>+IFERROR(VLOOKUP(C127,Hoja1!$A$1:$J$82,10,0),"")</f>
        <v/>
      </c>
      <c r="F127" s="93" t="str">
        <f>+IFERROR(VLOOKUP(C127,Hoja1!$A$1:$I$82,3,0),"")</f>
        <v/>
      </c>
      <c r="G127" s="92" t="str">
        <f>+IFERROR(VLOOKUP(C127,Hoja1!$A$1:$K$82,11,0),"")</f>
        <v/>
      </c>
      <c r="H127" s="94" t="str">
        <f>+IFERROR(VLOOKUP(C127,Hoja1!$A$1:$L$82,12,0),"")</f>
        <v/>
      </c>
      <c r="I127" s="30"/>
      <c r="J127" s="47">
        <v>113</v>
      </c>
      <c r="K127" s="46"/>
      <c r="M127" s="44"/>
      <c r="N127" s="32"/>
      <c r="O127" s="32"/>
      <c r="P127" s="32"/>
      <c r="Q127" s="32"/>
      <c r="R127" s="32"/>
      <c r="S127" s="32"/>
    </row>
    <row r="128" spans="2:19" s="26" customFormat="1" ht="99.75" customHeight="1">
      <c r="B128" s="91">
        <f t="shared" si="2"/>
        <v>114</v>
      </c>
      <c r="C128" s="92" t="str">
        <f>+IFERROR(INDEX(Hoja1!$A$2:$A$82,MATCH(J128,Hoja1!$H$2:$H$82,0)),"")</f>
        <v/>
      </c>
      <c r="D128" s="93" t="str">
        <f>IFERROR(VLOOKUP(C128,Hoja1!$A$2:$H$82,4,0),"")</f>
        <v/>
      </c>
      <c r="E128" s="93" t="str">
        <f>+IFERROR(VLOOKUP(C128,Hoja1!$A$1:$J$82,10,0),"")</f>
        <v/>
      </c>
      <c r="F128" s="93" t="str">
        <f>+IFERROR(VLOOKUP(C128,Hoja1!$A$1:$I$82,3,0),"")</f>
        <v/>
      </c>
      <c r="G128" s="92" t="str">
        <f>+IFERROR(VLOOKUP(C128,Hoja1!$A$1:$K$82,11,0),"")</f>
        <v/>
      </c>
      <c r="H128" s="94" t="str">
        <f>+IFERROR(VLOOKUP(C128,Hoja1!$A$1:$L$82,12,0),"")</f>
        <v/>
      </c>
      <c r="I128" s="30"/>
      <c r="J128" s="47">
        <v>114</v>
      </c>
      <c r="K128" s="46"/>
      <c r="M128" s="44"/>
      <c r="N128" s="32"/>
      <c r="O128" s="32"/>
      <c r="P128" s="32"/>
      <c r="Q128" s="32"/>
      <c r="R128" s="32"/>
      <c r="S128" s="32"/>
    </row>
    <row r="129" spans="2:19" s="26" customFormat="1" ht="99.75" customHeight="1">
      <c r="B129" s="91">
        <f t="shared" si="2"/>
        <v>115</v>
      </c>
      <c r="C129" s="92" t="str">
        <f>+IFERROR(INDEX(Hoja1!$A$2:$A$82,MATCH(J129,Hoja1!$H$2:$H$82,0)),"")</f>
        <v/>
      </c>
      <c r="D129" s="93" t="str">
        <f>IFERROR(VLOOKUP(C129,Hoja1!$A$2:$H$82,4,0),"")</f>
        <v/>
      </c>
      <c r="E129" s="93" t="str">
        <f>+IFERROR(VLOOKUP(C129,Hoja1!$A$1:$J$82,10,0),"")</f>
        <v/>
      </c>
      <c r="F129" s="93" t="str">
        <f>+IFERROR(VLOOKUP(C129,Hoja1!$A$1:$I$82,3,0),"")</f>
        <v/>
      </c>
      <c r="G129" s="92" t="str">
        <f>+IFERROR(VLOOKUP(C129,Hoja1!$A$1:$K$82,11,0),"")</f>
        <v/>
      </c>
      <c r="H129" s="94" t="str">
        <f>+IFERROR(VLOOKUP(C129,Hoja1!$A$1:$L$82,12,0),"")</f>
        <v/>
      </c>
      <c r="I129" s="30"/>
      <c r="J129" s="47">
        <v>115</v>
      </c>
      <c r="K129" s="46"/>
      <c r="M129" s="44"/>
      <c r="N129" s="32"/>
      <c r="O129" s="32"/>
      <c r="P129" s="32"/>
      <c r="Q129" s="32"/>
      <c r="R129" s="32"/>
      <c r="S129" s="32"/>
    </row>
    <row r="130" spans="2:19" s="26" customFormat="1" ht="99.75" customHeight="1">
      <c r="B130" s="95">
        <f t="shared" si="2"/>
        <v>116</v>
      </c>
      <c r="C130" s="92" t="str">
        <f>+IFERROR(INDEX(Hoja1!$A$2:$A$82,MATCH(J130,Hoja1!$H$2:$H$82,0)),"")</f>
        <v/>
      </c>
      <c r="D130" s="93" t="str">
        <f>IFERROR(VLOOKUP(C130,Hoja1!$A$2:$H$82,4,0),"")</f>
        <v/>
      </c>
      <c r="E130" s="93" t="str">
        <f>+IFERROR(VLOOKUP(C130,Hoja1!$A$1:$J$82,10,0),"")</f>
        <v/>
      </c>
      <c r="F130" s="93" t="str">
        <f>+IFERROR(VLOOKUP(C130,Hoja1!$A$1:$I$82,3,0),"")</f>
        <v/>
      </c>
      <c r="G130" s="92" t="str">
        <f>+IFERROR(VLOOKUP(C130,Hoja1!$A$1:$K$82,11,0),"")</f>
        <v/>
      </c>
      <c r="H130" s="94" t="str">
        <f>+IFERROR(VLOOKUP(C130,Hoja1!$A$1:$L$82,12,0),"")</f>
        <v/>
      </c>
      <c r="I130" s="30"/>
      <c r="J130" s="47">
        <v>116</v>
      </c>
      <c r="K130" s="46"/>
      <c r="M130" s="44"/>
      <c r="N130" s="32"/>
      <c r="O130" s="32"/>
      <c r="P130" s="32"/>
      <c r="Q130" s="32"/>
      <c r="R130" s="32"/>
      <c r="S130" s="32"/>
    </row>
    <row r="131" spans="2:19" s="26" customFormat="1" ht="99.75" customHeight="1">
      <c r="B131" s="91">
        <f t="shared" si="2"/>
        <v>117</v>
      </c>
      <c r="C131" s="92" t="str">
        <f>+IFERROR(INDEX(Hoja1!$A$2:$A$82,MATCH(J131,Hoja1!$H$2:$H$82,0)),"")</f>
        <v/>
      </c>
      <c r="D131" s="93" t="str">
        <f>IFERROR(VLOOKUP(C131,Hoja1!$A$2:$H$82,4,0),"")</f>
        <v/>
      </c>
      <c r="E131" s="93" t="str">
        <f>+IFERROR(VLOOKUP(C131,Hoja1!$A$1:$J$82,10,0),"")</f>
        <v/>
      </c>
      <c r="F131" s="93" t="str">
        <f>+IFERROR(VLOOKUP(C131,Hoja1!$A$1:$I$82,3,0),"")</f>
        <v/>
      </c>
      <c r="G131" s="92" t="str">
        <f>+IFERROR(VLOOKUP(C131,Hoja1!$A$1:$K$82,11,0),"")</f>
        <v/>
      </c>
      <c r="H131" s="94" t="str">
        <f>+IFERROR(VLOOKUP(C131,Hoja1!$A$1:$L$82,12,0),"")</f>
        <v/>
      </c>
      <c r="I131" s="30"/>
      <c r="J131" s="47">
        <v>117</v>
      </c>
      <c r="K131" s="46"/>
      <c r="M131" s="44"/>
      <c r="N131" s="32"/>
      <c r="O131" s="32"/>
      <c r="P131" s="32"/>
      <c r="Q131" s="32"/>
      <c r="R131" s="32"/>
      <c r="S131" s="32"/>
    </row>
    <row r="132" spans="2:19" s="26" customFormat="1" ht="99.75" customHeight="1">
      <c r="B132" s="91">
        <f t="shared" si="2"/>
        <v>118</v>
      </c>
      <c r="C132" s="92" t="str">
        <f>+IFERROR(INDEX(Hoja1!$A$2:$A$82,MATCH(J132,Hoja1!$H$2:$H$82,0)),"")</f>
        <v/>
      </c>
      <c r="D132" s="93" t="str">
        <f>IFERROR(VLOOKUP(C132,Hoja1!$A$2:$H$82,4,0),"")</f>
        <v/>
      </c>
      <c r="E132" s="93" t="str">
        <f>+IFERROR(VLOOKUP(C132,Hoja1!$A$1:$J$82,10,0),"")</f>
        <v/>
      </c>
      <c r="F132" s="93" t="str">
        <f>+IFERROR(VLOOKUP(C132,Hoja1!$A$1:$I$82,3,0),"")</f>
        <v/>
      </c>
      <c r="G132" s="92" t="str">
        <f>+IFERROR(VLOOKUP(C132,Hoja1!$A$1:$K$82,11,0),"")</f>
        <v/>
      </c>
      <c r="H132" s="94" t="str">
        <f>+IFERROR(VLOOKUP(C132,Hoja1!$A$1:$L$82,12,0),"")</f>
        <v/>
      </c>
      <c r="I132" s="30"/>
      <c r="J132" s="47">
        <v>118</v>
      </c>
      <c r="K132" s="46"/>
      <c r="M132" s="44"/>
      <c r="N132" s="32"/>
      <c r="O132" s="32"/>
      <c r="P132" s="32"/>
      <c r="Q132" s="32"/>
      <c r="R132" s="32"/>
      <c r="S132" s="32"/>
    </row>
    <row r="133" spans="2:19" s="26" customFormat="1" ht="99.75" customHeight="1">
      <c r="B133" s="91">
        <f t="shared" si="2"/>
        <v>119</v>
      </c>
      <c r="C133" s="92" t="str">
        <f>+IFERROR(INDEX(Hoja1!$A$2:$A$82,MATCH(J133,Hoja1!$H$2:$H$82,0)),"")</f>
        <v/>
      </c>
      <c r="D133" s="93" t="str">
        <f>IFERROR(VLOOKUP(C133,Hoja1!$A$2:$H$82,4,0),"")</f>
        <v/>
      </c>
      <c r="E133" s="93" t="str">
        <f>+IFERROR(VLOOKUP(C133,Hoja1!$A$1:$J$82,10,0),"")</f>
        <v/>
      </c>
      <c r="F133" s="93" t="str">
        <f>+IFERROR(VLOOKUP(C133,Hoja1!$A$1:$I$82,3,0),"")</f>
        <v/>
      </c>
      <c r="G133" s="92" t="str">
        <f>+IFERROR(VLOOKUP(C133,Hoja1!$A$1:$K$82,11,0),"")</f>
        <v/>
      </c>
      <c r="H133" s="94" t="str">
        <f>+IFERROR(VLOOKUP(C133,Hoja1!$A$1:$L$82,12,0),"")</f>
        <v/>
      </c>
      <c r="I133" s="30"/>
      <c r="J133" s="47">
        <v>119</v>
      </c>
      <c r="K133" s="46"/>
      <c r="M133" s="44"/>
      <c r="N133" s="32"/>
      <c r="O133" s="32"/>
      <c r="P133" s="32"/>
      <c r="Q133" s="32"/>
      <c r="R133" s="32"/>
      <c r="S133" s="32"/>
    </row>
    <row r="134" spans="2:19" s="26" customFormat="1" ht="99.75" customHeight="1">
      <c r="B134" s="91">
        <f t="shared" si="2"/>
        <v>120</v>
      </c>
      <c r="C134" s="92" t="str">
        <f>+IFERROR(INDEX(Hoja1!$A$2:$A$82,MATCH(J134,Hoja1!$H$2:$H$82,0)),"")</f>
        <v/>
      </c>
      <c r="D134" s="93" t="str">
        <f>IFERROR(VLOOKUP(C134,Hoja1!$A$2:$H$82,4,0),"")</f>
        <v/>
      </c>
      <c r="E134" s="93" t="str">
        <f>+IFERROR(VLOOKUP(C134,Hoja1!$A$1:$J$82,10,0),"")</f>
        <v/>
      </c>
      <c r="F134" s="93" t="str">
        <f>+IFERROR(VLOOKUP(C134,Hoja1!$A$1:$I$82,3,0),"")</f>
        <v/>
      </c>
      <c r="G134" s="92" t="str">
        <f>+IFERROR(VLOOKUP(C134,Hoja1!$A$1:$K$82,11,0),"")</f>
        <v/>
      </c>
      <c r="H134" s="94" t="str">
        <f>+IFERROR(VLOOKUP(C134,Hoja1!$A$1:$L$82,12,0),"")</f>
        <v/>
      </c>
      <c r="I134" s="30"/>
      <c r="J134" s="47">
        <v>120</v>
      </c>
      <c r="K134" s="46"/>
      <c r="M134" s="44"/>
      <c r="N134" s="32"/>
      <c r="O134" s="32"/>
      <c r="P134" s="32"/>
      <c r="Q134" s="32"/>
      <c r="R134" s="32"/>
      <c r="S134" s="32"/>
    </row>
    <row r="135" spans="2:19" s="26" customFormat="1" ht="99.75" customHeight="1">
      <c r="B135" s="95">
        <f t="shared" si="2"/>
        <v>121</v>
      </c>
      <c r="C135" s="92" t="str">
        <f>+IFERROR(INDEX(Hoja1!$A$2:$A$82,MATCH(J135,Hoja1!$H$2:$H$82,0)),"")</f>
        <v/>
      </c>
      <c r="D135" s="93" t="str">
        <f>IFERROR(VLOOKUP(C135,Hoja1!$A$2:$H$82,4,0),"")</f>
        <v/>
      </c>
      <c r="E135" s="93" t="str">
        <f>+IFERROR(VLOOKUP(C135,Hoja1!$A$1:$J$82,10,0),"")</f>
        <v/>
      </c>
      <c r="F135" s="93" t="str">
        <f>+IFERROR(VLOOKUP(C135,Hoja1!$A$1:$I$82,3,0),"")</f>
        <v/>
      </c>
      <c r="G135" s="92" t="str">
        <f>+IFERROR(VLOOKUP(C135,Hoja1!$A$1:$K$82,11,0),"")</f>
        <v/>
      </c>
      <c r="H135" s="94" t="str">
        <f>+IFERROR(VLOOKUP(C135,Hoja1!$A$1:$L$82,12,0),"")</f>
        <v/>
      </c>
      <c r="I135" s="30"/>
      <c r="J135" s="47">
        <v>121</v>
      </c>
      <c r="K135" s="46"/>
      <c r="M135" s="44"/>
      <c r="N135" s="32"/>
      <c r="O135" s="32"/>
      <c r="P135" s="32"/>
      <c r="Q135" s="32"/>
      <c r="R135" s="32"/>
      <c r="S135" s="32"/>
    </row>
    <row r="136" spans="2:19" s="26" customFormat="1" ht="99.75" customHeight="1">
      <c r="B136" s="91">
        <f t="shared" si="2"/>
        <v>122</v>
      </c>
      <c r="C136" s="92" t="str">
        <f>+IFERROR(INDEX(Hoja1!$A$2:$A$82,MATCH(J136,Hoja1!$H$2:$H$82,0)),"")</f>
        <v/>
      </c>
      <c r="D136" s="93" t="str">
        <f>IFERROR(VLOOKUP(C136,Hoja1!$A$2:$H$82,4,0),"")</f>
        <v/>
      </c>
      <c r="E136" s="93" t="str">
        <f>+IFERROR(VLOOKUP(C136,Hoja1!$A$1:$J$82,10,0),"")</f>
        <v/>
      </c>
      <c r="F136" s="93" t="str">
        <f>+IFERROR(VLOOKUP(C136,Hoja1!$A$1:$I$82,3,0),"")</f>
        <v/>
      </c>
      <c r="G136" s="92" t="str">
        <f>+IFERROR(VLOOKUP(C136,Hoja1!$A$1:$K$82,11,0),"")</f>
        <v/>
      </c>
      <c r="H136" s="94" t="str">
        <f>+IFERROR(VLOOKUP(C136,Hoja1!$A$1:$L$82,12,0),"")</f>
        <v/>
      </c>
      <c r="I136" s="30"/>
      <c r="J136" s="47">
        <v>122</v>
      </c>
      <c r="K136" s="46"/>
      <c r="M136" s="44"/>
      <c r="N136" s="32"/>
      <c r="O136" s="32"/>
      <c r="P136" s="32"/>
      <c r="Q136" s="32"/>
      <c r="R136" s="32"/>
      <c r="S136" s="32"/>
    </row>
    <row r="137" spans="2:19" s="26" customFormat="1" ht="99.75" customHeight="1">
      <c r="B137" s="91">
        <f t="shared" si="2"/>
        <v>123</v>
      </c>
      <c r="C137" s="92" t="str">
        <f>+IFERROR(INDEX(Hoja1!$A$2:$A$82,MATCH(J137,Hoja1!$H$2:$H$82,0)),"")</f>
        <v/>
      </c>
      <c r="D137" s="93" t="str">
        <f>IFERROR(VLOOKUP(C137,Hoja1!$A$2:$H$82,4,0),"")</f>
        <v/>
      </c>
      <c r="E137" s="93" t="str">
        <f>+IFERROR(VLOOKUP(C137,Hoja1!$A$1:$J$82,10,0),"")</f>
        <v/>
      </c>
      <c r="F137" s="93" t="str">
        <f>+IFERROR(VLOOKUP(C137,Hoja1!$A$1:$I$82,3,0),"")</f>
        <v/>
      </c>
      <c r="G137" s="92" t="str">
        <f>+IFERROR(VLOOKUP(C137,Hoja1!$A$1:$K$82,11,0),"")</f>
        <v/>
      </c>
      <c r="H137" s="94" t="str">
        <f>+IFERROR(VLOOKUP(C137,Hoja1!$A$1:$L$82,12,0),"")</f>
        <v/>
      </c>
      <c r="I137" s="30"/>
      <c r="J137" s="47">
        <v>123</v>
      </c>
      <c r="K137" s="46"/>
      <c r="M137" s="44"/>
      <c r="N137" s="32"/>
      <c r="O137" s="32"/>
      <c r="P137" s="32"/>
      <c r="Q137" s="32"/>
      <c r="R137" s="32"/>
      <c r="S137" s="32"/>
    </row>
    <row r="138" spans="2:19" s="26" customFormat="1" ht="99.75" customHeight="1">
      <c r="B138" s="91">
        <f t="shared" si="2"/>
        <v>124</v>
      </c>
      <c r="C138" s="92" t="str">
        <f>+IFERROR(INDEX(Hoja1!$A$2:$A$82,MATCH(J138,Hoja1!$H$2:$H$82,0)),"")</f>
        <v/>
      </c>
      <c r="D138" s="93" t="str">
        <f>IFERROR(VLOOKUP(C138,Hoja1!$A$2:$H$82,4,0),"")</f>
        <v/>
      </c>
      <c r="E138" s="93" t="str">
        <f>+IFERROR(VLOOKUP(C138,Hoja1!$A$1:$J$82,10,0),"")</f>
        <v/>
      </c>
      <c r="F138" s="93" t="str">
        <f>+IFERROR(VLOOKUP(C138,Hoja1!$A$1:$I$82,3,0),"")</f>
        <v/>
      </c>
      <c r="G138" s="92" t="str">
        <f>+IFERROR(VLOOKUP(C138,Hoja1!$A$1:$K$82,11,0),"")</f>
        <v/>
      </c>
      <c r="H138" s="94" t="str">
        <f>+IFERROR(VLOOKUP(C138,Hoja1!$A$1:$L$82,12,0),"")</f>
        <v/>
      </c>
      <c r="I138" s="30"/>
      <c r="J138" s="47">
        <v>124</v>
      </c>
      <c r="K138" s="46"/>
      <c r="M138" s="44"/>
      <c r="N138" s="32"/>
      <c r="O138" s="32"/>
      <c r="P138" s="32"/>
      <c r="Q138" s="32"/>
      <c r="R138" s="32"/>
      <c r="S138" s="32"/>
    </row>
    <row r="139" spans="2:19" s="26" customFormat="1" ht="99.75" customHeight="1">
      <c r="B139" s="91">
        <f t="shared" si="2"/>
        <v>125</v>
      </c>
      <c r="C139" s="92" t="str">
        <f>+IFERROR(INDEX(Hoja1!$A$2:$A$82,MATCH(J139,Hoja1!$H$2:$H$82,0)),"")</f>
        <v/>
      </c>
      <c r="D139" s="93" t="str">
        <f>IFERROR(VLOOKUP(C139,Hoja1!$A$2:$H$82,4,0),"")</f>
        <v/>
      </c>
      <c r="E139" s="93" t="str">
        <f>+IFERROR(VLOOKUP(C139,Hoja1!$A$1:$J$82,10,0),"")</f>
        <v/>
      </c>
      <c r="F139" s="93" t="str">
        <f>+IFERROR(VLOOKUP(C139,Hoja1!$A$1:$I$82,3,0),"")</f>
        <v/>
      </c>
      <c r="G139" s="92" t="str">
        <f>+IFERROR(VLOOKUP(C139,Hoja1!$A$1:$K$82,11,0),"")</f>
        <v/>
      </c>
      <c r="H139" s="94" t="str">
        <f>+IFERROR(VLOOKUP(C139,Hoja1!$A$1:$L$82,12,0),"")</f>
        <v/>
      </c>
      <c r="I139" s="30"/>
      <c r="J139" s="47">
        <v>125</v>
      </c>
      <c r="K139" s="46"/>
      <c r="M139" s="44"/>
      <c r="N139" s="32"/>
      <c r="O139" s="32"/>
      <c r="P139" s="32"/>
      <c r="Q139" s="32"/>
      <c r="R139" s="32"/>
      <c r="S139" s="32"/>
    </row>
    <row r="140" spans="2:19" s="26" customFormat="1" ht="99.75" customHeight="1">
      <c r="B140" s="95">
        <f t="shared" si="2"/>
        <v>126</v>
      </c>
      <c r="C140" s="92" t="str">
        <f>+IFERROR(INDEX(Hoja1!$A$2:$A$82,MATCH(J140,Hoja1!$H$2:$H$82,0)),"")</f>
        <v/>
      </c>
      <c r="D140" s="93" t="str">
        <f>IFERROR(VLOOKUP(C140,Hoja1!$A$2:$H$82,4,0),"")</f>
        <v/>
      </c>
      <c r="E140" s="93" t="str">
        <f>+IFERROR(VLOOKUP(C140,Hoja1!$A$1:$J$82,10,0),"")</f>
        <v/>
      </c>
      <c r="F140" s="93" t="str">
        <f>+IFERROR(VLOOKUP(C140,Hoja1!$A$1:$I$82,3,0),"")</f>
        <v/>
      </c>
      <c r="G140" s="92" t="str">
        <f>+IFERROR(VLOOKUP(C140,Hoja1!$A$1:$K$82,11,0),"")</f>
        <v/>
      </c>
      <c r="H140" s="94" t="str">
        <f>+IFERROR(VLOOKUP(C140,Hoja1!$A$1:$L$82,12,0),"")</f>
        <v/>
      </c>
      <c r="I140" s="30"/>
      <c r="J140" s="47">
        <v>126</v>
      </c>
      <c r="K140" s="46"/>
      <c r="M140" s="44"/>
      <c r="N140" s="32"/>
      <c r="O140" s="32"/>
      <c r="P140" s="32"/>
      <c r="Q140" s="32"/>
      <c r="R140" s="32"/>
      <c r="S140" s="32"/>
    </row>
    <row r="141" spans="2:19" s="26" customFormat="1" ht="99.75" customHeight="1">
      <c r="B141" s="91">
        <f t="shared" si="2"/>
        <v>127</v>
      </c>
      <c r="C141" s="92" t="str">
        <f>+IFERROR(INDEX(Hoja1!$A$2:$A$82,MATCH(J141,Hoja1!$H$2:$H$82,0)),"")</f>
        <v/>
      </c>
      <c r="D141" s="93" t="str">
        <f>IFERROR(VLOOKUP(C141,Hoja1!$A$2:$H$82,4,0),"")</f>
        <v/>
      </c>
      <c r="E141" s="93" t="str">
        <f>+IFERROR(VLOOKUP(C141,Hoja1!$A$1:$J$82,10,0),"")</f>
        <v/>
      </c>
      <c r="F141" s="93" t="str">
        <f>+IFERROR(VLOOKUP(C141,Hoja1!$A$1:$I$82,3,0),"")</f>
        <v/>
      </c>
      <c r="G141" s="92" t="str">
        <f>+IFERROR(VLOOKUP(C141,Hoja1!$A$1:$K$82,11,0),"")</f>
        <v/>
      </c>
      <c r="H141" s="94" t="str">
        <f>+IFERROR(VLOOKUP(C141,Hoja1!$A$1:$L$82,12,0),"")</f>
        <v/>
      </c>
      <c r="I141" s="30"/>
      <c r="J141" s="47">
        <v>127</v>
      </c>
      <c r="K141" s="46"/>
      <c r="M141" s="44"/>
      <c r="N141" s="32"/>
      <c r="O141" s="32"/>
      <c r="P141" s="32"/>
      <c r="Q141" s="32"/>
      <c r="R141" s="32"/>
      <c r="S141" s="32"/>
    </row>
    <row r="142" spans="2:19" s="26" customFormat="1" ht="99.75" customHeight="1">
      <c r="B142" s="91">
        <f t="shared" si="2"/>
        <v>128</v>
      </c>
      <c r="C142" s="92" t="str">
        <f>+IFERROR(INDEX(Hoja1!$A$2:$A$82,MATCH(J142,Hoja1!$H$2:$H$82,0)),"")</f>
        <v/>
      </c>
      <c r="D142" s="93" t="str">
        <f>IFERROR(VLOOKUP(C142,Hoja1!$A$2:$H$82,4,0),"")</f>
        <v/>
      </c>
      <c r="E142" s="93" t="str">
        <f>+IFERROR(VLOOKUP(C142,Hoja1!$A$1:$J$82,10,0),"")</f>
        <v/>
      </c>
      <c r="F142" s="93" t="str">
        <f>+IFERROR(VLOOKUP(C142,Hoja1!$A$1:$I$82,3,0),"")</f>
        <v/>
      </c>
      <c r="G142" s="92" t="str">
        <f>+IFERROR(VLOOKUP(C142,Hoja1!$A$1:$K$82,11,0),"")</f>
        <v/>
      </c>
      <c r="H142" s="94" t="str">
        <f>+IFERROR(VLOOKUP(C142,Hoja1!$A$1:$L$82,12,0),"")</f>
        <v/>
      </c>
      <c r="I142" s="30"/>
      <c r="J142" s="47">
        <v>128</v>
      </c>
      <c r="K142" s="46"/>
      <c r="M142" s="44"/>
      <c r="N142" s="32"/>
      <c r="O142" s="32"/>
      <c r="P142" s="32"/>
      <c r="Q142" s="32"/>
      <c r="R142" s="32"/>
      <c r="S142" s="32"/>
    </row>
    <row r="143" spans="2:19" s="26" customFormat="1" ht="99.75" customHeight="1">
      <c r="B143" s="91">
        <f t="shared" si="2"/>
        <v>129</v>
      </c>
      <c r="C143" s="92" t="str">
        <f>+IFERROR(INDEX(Hoja1!$A$2:$A$82,MATCH(J143,Hoja1!$H$2:$H$82,0)),"")</f>
        <v/>
      </c>
      <c r="D143" s="93" t="str">
        <f>IFERROR(VLOOKUP(C143,Hoja1!$A$2:$H$82,4,0),"")</f>
        <v/>
      </c>
      <c r="E143" s="93" t="str">
        <f>+IFERROR(VLOOKUP(C143,Hoja1!$A$1:$J$82,10,0),"")</f>
        <v/>
      </c>
      <c r="F143" s="93" t="str">
        <f>+IFERROR(VLOOKUP(C143,Hoja1!$A$1:$I$82,3,0),"")</f>
        <v/>
      </c>
      <c r="G143" s="92" t="str">
        <f>+IFERROR(VLOOKUP(C143,Hoja1!$A$1:$K$82,11,0),"")</f>
        <v/>
      </c>
      <c r="H143" s="94" t="str">
        <f>+IFERROR(VLOOKUP(C143,Hoja1!$A$1:$L$82,12,0),"")</f>
        <v/>
      </c>
      <c r="I143" s="30"/>
      <c r="J143" s="47">
        <v>129</v>
      </c>
      <c r="K143" s="46"/>
      <c r="M143" s="44"/>
      <c r="N143" s="32"/>
      <c r="O143" s="32"/>
      <c r="P143" s="32"/>
      <c r="Q143" s="32"/>
      <c r="R143" s="32"/>
      <c r="S143" s="32"/>
    </row>
    <row r="144" spans="2:19" s="26" customFormat="1" ht="99.75" customHeight="1">
      <c r="B144" s="91">
        <f t="shared" ref="B144:B164" si="4">+IF(ISTEXT(D144),J144,"")</f>
        <v>130</v>
      </c>
      <c r="C144" s="92" t="str">
        <f>+IFERROR(INDEX(Hoja1!$A$2:$A$82,MATCH(J144,Hoja1!$H$2:$H$82,0)),"")</f>
        <v/>
      </c>
      <c r="D144" s="93" t="str">
        <f>IFERROR(VLOOKUP(C144,Hoja1!$A$2:$H$82,4,0),"")</f>
        <v/>
      </c>
      <c r="E144" s="93" t="str">
        <f>+IFERROR(VLOOKUP(C144,Hoja1!$A$1:$J$82,10,0),"")</f>
        <v/>
      </c>
      <c r="F144" s="93" t="str">
        <f>+IFERROR(VLOOKUP(C144,Hoja1!$A$1:$I$82,3,0),"")</f>
        <v/>
      </c>
      <c r="G144" s="92" t="str">
        <f>+IFERROR(VLOOKUP(C144,Hoja1!$A$1:$K$82,11,0),"")</f>
        <v/>
      </c>
      <c r="H144" s="94" t="str">
        <f>+IFERROR(VLOOKUP(C144,Hoja1!$A$1:$L$82,12,0),"")</f>
        <v/>
      </c>
      <c r="I144" s="30"/>
      <c r="J144" s="47">
        <v>130</v>
      </c>
      <c r="K144" s="46"/>
      <c r="M144" s="44"/>
      <c r="N144" s="32"/>
      <c r="O144" s="32"/>
      <c r="P144" s="32"/>
      <c r="Q144" s="32"/>
      <c r="R144" s="32"/>
      <c r="S144" s="32"/>
    </row>
    <row r="145" spans="2:19" s="26" customFormat="1" ht="99.75" customHeight="1">
      <c r="B145" s="95">
        <f t="shared" si="4"/>
        <v>131</v>
      </c>
      <c r="C145" s="92" t="str">
        <f>+IFERROR(INDEX(Hoja1!$A$2:$A$82,MATCH(J145,Hoja1!$H$2:$H$82,0)),"")</f>
        <v/>
      </c>
      <c r="D145" s="93" t="str">
        <f>IFERROR(VLOOKUP(C145,Hoja1!$A$2:$H$82,4,0),"")</f>
        <v/>
      </c>
      <c r="E145" s="93" t="str">
        <f>+IFERROR(VLOOKUP(C145,Hoja1!$A$1:$J$82,10,0),"")</f>
        <v/>
      </c>
      <c r="F145" s="93" t="str">
        <f>+IFERROR(VLOOKUP(C145,Hoja1!$A$1:$I$82,3,0),"")</f>
        <v/>
      </c>
      <c r="G145" s="92" t="str">
        <f>+IFERROR(VLOOKUP(C145,Hoja1!$A$1:$K$82,11,0),"")</f>
        <v/>
      </c>
      <c r="H145" s="94" t="str">
        <f>+IFERROR(VLOOKUP(C145,Hoja1!$A$1:$L$82,12,0),"")</f>
        <v/>
      </c>
      <c r="I145" s="30"/>
      <c r="J145" s="47">
        <v>131</v>
      </c>
      <c r="K145" s="46"/>
      <c r="M145" s="44"/>
      <c r="N145" s="32"/>
      <c r="O145" s="32"/>
      <c r="P145" s="32"/>
      <c r="Q145" s="32"/>
      <c r="R145" s="32"/>
      <c r="S145" s="32"/>
    </row>
    <row r="146" spans="2:19" s="26" customFormat="1" ht="99.75" customHeight="1">
      <c r="B146" s="91">
        <f t="shared" si="4"/>
        <v>132</v>
      </c>
      <c r="C146" s="92" t="str">
        <f>+IFERROR(INDEX(Hoja1!$A$2:$A$82,MATCH(J146,Hoja1!$H$2:$H$82,0)),"")</f>
        <v/>
      </c>
      <c r="D146" s="93" t="str">
        <f>IFERROR(VLOOKUP(C146,Hoja1!$A$2:$H$82,4,0),"")</f>
        <v/>
      </c>
      <c r="E146" s="93" t="str">
        <f>+IFERROR(VLOOKUP(C146,Hoja1!$A$1:$J$82,10,0),"")</f>
        <v/>
      </c>
      <c r="F146" s="93" t="str">
        <f>+IFERROR(VLOOKUP(C146,Hoja1!$A$1:$I$82,3,0),"")</f>
        <v/>
      </c>
      <c r="G146" s="92" t="str">
        <f>+IFERROR(VLOOKUP(C146,Hoja1!$A$1:$K$82,11,0),"")</f>
        <v/>
      </c>
      <c r="H146" s="94" t="str">
        <f>+IFERROR(VLOOKUP(C146,Hoja1!$A$1:$L$82,12,0),"")</f>
        <v/>
      </c>
      <c r="I146" s="30"/>
      <c r="J146" s="47">
        <v>132</v>
      </c>
      <c r="K146" s="46"/>
      <c r="M146" s="44"/>
      <c r="N146" s="32"/>
      <c r="O146" s="32"/>
      <c r="P146" s="32"/>
      <c r="Q146" s="32"/>
      <c r="R146" s="32"/>
      <c r="S146" s="32"/>
    </row>
    <row r="147" spans="2:19" s="26" customFormat="1" ht="99.75" customHeight="1">
      <c r="B147" s="91">
        <f t="shared" si="4"/>
        <v>133</v>
      </c>
      <c r="C147" s="92" t="str">
        <f>+IFERROR(INDEX(Hoja1!$A$2:$A$82,MATCH(J147,Hoja1!$H$2:$H$82,0)),"")</f>
        <v/>
      </c>
      <c r="D147" s="93" t="str">
        <f>IFERROR(VLOOKUP(C147,Hoja1!$A$2:$H$82,4,0),"")</f>
        <v/>
      </c>
      <c r="E147" s="93" t="str">
        <f>+IFERROR(VLOOKUP(C147,Hoja1!$A$1:$J$82,10,0),"")</f>
        <v/>
      </c>
      <c r="F147" s="93" t="str">
        <f>+IFERROR(VLOOKUP(C147,Hoja1!$A$1:$I$82,3,0),"")</f>
        <v/>
      </c>
      <c r="G147" s="92" t="str">
        <f>+IFERROR(VLOOKUP(C147,Hoja1!$A$1:$K$82,11,0),"")</f>
        <v/>
      </c>
      <c r="H147" s="94" t="str">
        <f>+IFERROR(VLOOKUP(C147,Hoja1!$A$1:$L$82,12,0),"")</f>
        <v/>
      </c>
      <c r="I147" s="30"/>
      <c r="J147" s="47">
        <v>133</v>
      </c>
      <c r="K147" s="46"/>
      <c r="M147" s="44"/>
      <c r="N147" s="32"/>
      <c r="O147" s="32"/>
      <c r="P147" s="32"/>
      <c r="Q147" s="32"/>
      <c r="R147" s="32"/>
      <c r="S147" s="32"/>
    </row>
    <row r="148" spans="2:19" s="26" customFormat="1" ht="99.75" customHeight="1">
      <c r="B148" s="91">
        <f t="shared" si="4"/>
        <v>134</v>
      </c>
      <c r="C148" s="92" t="str">
        <f>+IFERROR(INDEX(Hoja1!$A$2:$A$82,MATCH(J148,Hoja1!$H$2:$H$82,0)),"")</f>
        <v/>
      </c>
      <c r="D148" s="93" t="str">
        <f>IFERROR(VLOOKUP(C148,Hoja1!$A$2:$H$82,4,0),"")</f>
        <v/>
      </c>
      <c r="E148" s="93" t="str">
        <f>+IFERROR(VLOOKUP(C148,Hoja1!$A$1:$J$82,10,0),"")</f>
        <v/>
      </c>
      <c r="F148" s="93" t="str">
        <f>+IFERROR(VLOOKUP(C148,Hoja1!$A$1:$I$82,3,0),"")</f>
        <v/>
      </c>
      <c r="G148" s="92" t="str">
        <f>+IFERROR(VLOOKUP(C148,Hoja1!$A$1:$K$82,11,0),"")</f>
        <v/>
      </c>
      <c r="H148" s="94" t="str">
        <f>+IFERROR(VLOOKUP(C148,Hoja1!$A$1:$L$82,12,0),"")</f>
        <v/>
      </c>
      <c r="I148" s="30"/>
      <c r="J148" s="47">
        <v>134</v>
      </c>
      <c r="K148" s="46"/>
      <c r="M148" s="44"/>
      <c r="N148" s="32"/>
      <c r="O148" s="32"/>
      <c r="P148" s="32"/>
      <c r="Q148" s="32"/>
      <c r="R148" s="32"/>
      <c r="S148" s="32"/>
    </row>
    <row r="149" spans="2:19" s="26" customFormat="1" ht="99.75" customHeight="1">
      <c r="B149" s="91">
        <f t="shared" si="4"/>
        <v>135</v>
      </c>
      <c r="C149" s="92" t="str">
        <f>+IFERROR(INDEX(Hoja1!$A$2:$A$82,MATCH(J149,Hoja1!$H$2:$H$82,0)),"")</f>
        <v/>
      </c>
      <c r="D149" s="93" t="str">
        <f>IFERROR(VLOOKUP(C149,Hoja1!$A$2:$H$82,4,0),"")</f>
        <v/>
      </c>
      <c r="E149" s="93" t="str">
        <f>+IFERROR(VLOOKUP(C149,Hoja1!$A$1:$J$82,10,0),"")</f>
        <v/>
      </c>
      <c r="F149" s="93" t="str">
        <f>+IFERROR(VLOOKUP(C149,Hoja1!$A$1:$I$82,3,0),"")</f>
        <v/>
      </c>
      <c r="G149" s="92" t="str">
        <f>+IFERROR(VLOOKUP(C149,Hoja1!$A$1:$K$82,11,0),"")</f>
        <v/>
      </c>
      <c r="H149" s="94" t="str">
        <f>+IFERROR(VLOOKUP(C149,Hoja1!$A$1:$L$82,12,0),"")</f>
        <v/>
      </c>
      <c r="I149" s="30"/>
      <c r="J149" s="47">
        <v>135</v>
      </c>
      <c r="K149" s="46"/>
      <c r="M149" s="44"/>
      <c r="N149" s="32"/>
      <c r="O149" s="32"/>
      <c r="P149" s="32"/>
      <c r="Q149" s="32"/>
      <c r="R149" s="32"/>
      <c r="S149" s="32"/>
    </row>
    <row r="150" spans="2:19" s="26" customFormat="1" ht="99.75" customHeight="1">
      <c r="B150" s="95">
        <f t="shared" si="4"/>
        <v>136</v>
      </c>
      <c r="C150" s="92" t="str">
        <f>+IFERROR(INDEX(Hoja1!$A$2:$A$82,MATCH(J150,Hoja1!$H$2:$H$82,0)),"")</f>
        <v/>
      </c>
      <c r="D150" s="93" t="str">
        <f>IFERROR(VLOOKUP(C150,Hoja1!$A$2:$H$82,4,0),"")</f>
        <v/>
      </c>
      <c r="E150" s="93" t="str">
        <f>+IFERROR(VLOOKUP(C150,Hoja1!$A$1:$J$82,10,0),"")</f>
        <v/>
      </c>
      <c r="F150" s="93" t="str">
        <f>+IFERROR(VLOOKUP(C150,Hoja1!$A$1:$I$82,3,0),"")</f>
        <v/>
      </c>
      <c r="G150" s="92" t="str">
        <f>+IFERROR(VLOOKUP(C150,Hoja1!$A$1:$K$82,11,0),"")</f>
        <v/>
      </c>
      <c r="H150" s="94" t="str">
        <f>+IFERROR(VLOOKUP(C150,Hoja1!$A$1:$L$82,12,0),"")</f>
        <v/>
      </c>
      <c r="I150" s="30"/>
      <c r="J150" s="47">
        <v>136</v>
      </c>
      <c r="K150" s="46"/>
      <c r="M150" s="44"/>
      <c r="N150" s="32"/>
      <c r="O150" s="32"/>
      <c r="P150" s="32"/>
      <c r="Q150" s="32"/>
      <c r="R150" s="32"/>
      <c r="S150" s="32"/>
    </row>
    <row r="151" spans="2:19" s="26" customFormat="1" ht="99.75" customHeight="1">
      <c r="B151" s="91">
        <f t="shared" si="4"/>
        <v>137</v>
      </c>
      <c r="C151" s="92" t="str">
        <f>+IFERROR(INDEX(Hoja1!$A$2:$A$82,MATCH(J151,Hoja1!$H$2:$H$82,0)),"")</f>
        <v/>
      </c>
      <c r="D151" s="93" t="str">
        <f>IFERROR(VLOOKUP(C151,Hoja1!$A$2:$H$82,4,0),"")</f>
        <v/>
      </c>
      <c r="E151" s="93" t="str">
        <f>+IFERROR(VLOOKUP(C151,Hoja1!$A$1:$J$82,10,0),"")</f>
        <v/>
      </c>
      <c r="F151" s="93" t="str">
        <f>+IFERROR(VLOOKUP(C151,Hoja1!$A$1:$I$82,3,0),"")</f>
        <v/>
      </c>
      <c r="G151" s="92" t="str">
        <f>+IFERROR(VLOOKUP(C151,Hoja1!$A$1:$K$82,11,0),"")</f>
        <v/>
      </c>
      <c r="H151" s="94" t="str">
        <f>+IFERROR(VLOOKUP(C151,Hoja1!$A$1:$L$82,12,0),"")</f>
        <v/>
      </c>
      <c r="I151" s="30"/>
      <c r="J151" s="47">
        <v>137</v>
      </c>
      <c r="K151" s="46"/>
      <c r="M151" s="44"/>
      <c r="N151" s="32"/>
      <c r="O151" s="32"/>
      <c r="P151" s="32"/>
      <c r="Q151" s="32"/>
      <c r="R151" s="32"/>
      <c r="S151" s="32"/>
    </row>
    <row r="152" spans="2:19" s="26" customFormat="1" ht="99.75" customHeight="1">
      <c r="B152" s="91">
        <f t="shared" si="4"/>
        <v>138</v>
      </c>
      <c r="C152" s="92" t="str">
        <f>+IFERROR(INDEX(Hoja1!$A$2:$A$82,MATCH(J152,Hoja1!$H$2:$H$82,0)),"")</f>
        <v/>
      </c>
      <c r="D152" s="93" t="str">
        <f>IFERROR(VLOOKUP(C152,Hoja1!$A$2:$H$82,4,0),"")</f>
        <v/>
      </c>
      <c r="E152" s="93" t="str">
        <f>+IFERROR(VLOOKUP(C152,Hoja1!$A$1:$J$82,10,0),"")</f>
        <v/>
      </c>
      <c r="F152" s="93" t="str">
        <f>+IFERROR(VLOOKUP(C152,Hoja1!$A$1:$I$82,3,0),"")</f>
        <v/>
      </c>
      <c r="G152" s="92" t="str">
        <f>+IFERROR(VLOOKUP(C152,Hoja1!$A$1:$K$82,11,0),"")</f>
        <v/>
      </c>
      <c r="H152" s="94" t="str">
        <f>+IFERROR(VLOOKUP(C152,Hoja1!$A$1:$L$82,12,0),"")</f>
        <v/>
      </c>
      <c r="I152" s="30"/>
      <c r="J152" s="47">
        <v>138</v>
      </c>
      <c r="K152" s="46"/>
      <c r="M152" s="44"/>
      <c r="N152" s="32"/>
      <c r="O152" s="32"/>
      <c r="P152" s="32"/>
      <c r="Q152" s="32"/>
      <c r="R152" s="32"/>
      <c r="S152" s="32"/>
    </row>
    <row r="153" spans="2:19" s="26" customFormat="1" ht="99.75" customHeight="1">
      <c r="B153" s="91">
        <f t="shared" si="4"/>
        <v>139</v>
      </c>
      <c r="C153" s="92" t="str">
        <f>+IFERROR(INDEX(Hoja1!$A$2:$A$82,MATCH(J153,Hoja1!$H$2:$H$82,0)),"")</f>
        <v/>
      </c>
      <c r="D153" s="93" t="str">
        <f>IFERROR(VLOOKUP(C153,Hoja1!$A$2:$H$82,4,0),"")</f>
        <v/>
      </c>
      <c r="E153" s="93" t="str">
        <f>+IFERROR(VLOOKUP(C153,Hoja1!$A$1:$J$82,10,0),"")</f>
        <v/>
      </c>
      <c r="F153" s="93" t="str">
        <f>+IFERROR(VLOOKUP(C153,Hoja1!$A$1:$I$82,3,0),"")</f>
        <v/>
      </c>
      <c r="G153" s="92" t="str">
        <f>+IFERROR(VLOOKUP(C153,Hoja1!$A$1:$K$82,11,0),"")</f>
        <v/>
      </c>
      <c r="H153" s="94" t="str">
        <f>+IFERROR(VLOOKUP(C153,Hoja1!$A$1:$L$82,12,0),"")</f>
        <v/>
      </c>
      <c r="I153" s="30"/>
      <c r="J153" s="47">
        <v>139</v>
      </c>
      <c r="K153" s="46"/>
      <c r="M153" s="44"/>
      <c r="N153" s="32"/>
      <c r="O153" s="32"/>
      <c r="P153" s="32"/>
      <c r="Q153" s="32"/>
      <c r="R153" s="32"/>
      <c r="S153" s="32"/>
    </row>
    <row r="154" spans="2:19" s="26" customFormat="1" ht="99.75" customHeight="1">
      <c r="B154" s="91">
        <f t="shared" si="4"/>
        <v>140</v>
      </c>
      <c r="C154" s="92" t="str">
        <f>+IFERROR(INDEX(Hoja1!$A$2:$A$82,MATCH(J154,Hoja1!$H$2:$H$82,0)),"")</f>
        <v/>
      </c>
      <c r="D154" s="93" t="str">
        <f>IFERROR(VLOOKUP(C154,Hoja1!$A$2:$H$82,4,0),"")</f>
        <v/>
      </c>
      <c r="E154" s="93" t="str">
        <f>+IFERROR(VLOOKUP(C154,Hoja1!$A$1:$J$82,10,0),"")</f>
        <v/>
      </c>
      <c r="F154" s="93" t="str">
        <f>+IFERROR(VLOOKUP(C154,Hoja1!$A$1:$I$82,3,0),"")</f>
        <v/>
      </c>
      <c r="G154" s="92" t="str">
        <f>+IFERROR(VLOOKUP(C154,Hoja1!$A$1:$K$82,11,0),"")</f>
        <v/>
      </c>
      <c r="H154" s="94" t="str">
        <f>+IFERROR(VLOOKUP(C154,Hoja1!$A$1:$L$82,12,0),"")</f>
        <v/>
      </c>
      <c r="I154" s="30"/>
      <c r="J154" s="47">
        <v>140</v>
      </c>
      <c r="K154" s="46"/>
      <c r="M154" s="44"/>
      <c r="N154" s="32"/>
      <c r="O154" s="32"/>
      <c r="P154" s="32"/>
      <c r="Q154" s="32"/>
      <c r="R154" s="32"/>
      <c r="S154" s="32"/>
    </row>
    <row r="155" spans="2:19" s="26" customFormat="1" ht="99.75" customHeight="1">
      <c r="B155" s="95">
        <f t="shared" si="4"/>
        <v>141</v>
      </c>
      <c r="C155" s="92" t="str">
        <f>+IFERROR(INDEX(Hoja1!$A$2:$A$82,MATCH(J155,Hoja1!$H$2:$H$82,0)),"")</f>
        <v/>
      </c>
      <c r="D155" s="93" t="str">
        <f>IFERROR(VLOOKUP(C155,Hoja1!$A$2:$H$82,4,0),"")</f>
        <v/>
      </c>
      <c r="E155" s="93" t="str">
        <f>+IFERROR(VLOOKUP(C155,Hoja1!$A$1:$J$82,10,0),"")</f>
        <v/>
      </c>
      <c r="F155" s="93" t="str">
        <f>+IFERROR(VLOOKUP(C155,Hoja1!$A$1:$I$82,3,0),"")</f>
        <v/>
      </c>
      <c r="G155" s="92" t="str">
        <f>+IFERROR(VLOOKUP(C155,Hoja1!$A$1:$K$82,11,0),"")</f>
        <v/>
      </c>
      <c r="H155" s="94" t="str">
        <f>+IFERROR(VLOOKUP(C155,Hoja1!$A$1:$L$82,12,0),"")</f>
        <v/>
      </c>
      <c r="I155" s="30"/>
      <c r="J155" s="47">
        <v>141</v>
      </c>
      <c r="K155" s="46"/>
      <c r="M155" s="44"/>
      <c r="N155" s="32"/>
      <c r="O155" s="32"/>
      <c r="P155" s="32"/>
      <c r="Q155" s="32"/>
      <c r="R155" s="32"/>
      <c r="S155" s="32"/>
    </row>
    <row r="156" spans="2:19" s="26" customFormat="1" ht="99.75" customHeight="1">
      <c r="B156" s="91">
        <f t="shared" si="4"/>
        <v>142</v>
      </c>
      <c r="C156" s="92" t="str">
        <f>+IFERROR(INDEX(Hoja1!$A$2:$A$82,MATCH(J156,Hoja1!$H$2:$H$82,0)),"")</f>
        <v/>
      </c>
      <c r="D156" s="93" t="str">
        <f>IFERROR(VLOOKUP(C156,Hoja1!$A$2:$H$82,4,0),"")</f>
        <v/>
      </c>
      <c r="E156" s="93" t="str">
        <f>+IFERROR(VLOOKUP(C156,Hoja1!$A$1:$J$82,10,0),"")</f>
        <v/>
      </c>
      <c r="F156" s="93" t="str">
        <f>+IFERROR(VLOOKUP(C156,Hoja1!$A$1:$I$82,3,0),"")</f>
        <v/>
      </c>
      <c r="G156" s="92" t="str">
        <f>+IFERROR(VLOOKUP(C156,Hoja1!$A$1:$K$82,11,0),"")</f>
        <v/>
      </c>
      <c r="H156" s="94" t="str">
        <f>+IFERROR(VLOOKUP(C156,Hoja1!$A$1:$L$82,12,0),"")</f>
        <v/>
      </c>
      <c r="I156" s="30"/>
      <c r="J156" s="47">
        <v>142</v>
      </c>
      <c r="K156" s="46"/>
      <c r="M156" s="44"/>
      <c r="N156" s="32"/>
      <c r="O156" s="32"/>
      <c r="P156" s="32"/>
      <c r="Q156" s="32"/>
      <c r="R156" s="32"/>
      <c r="S156" s="32"/>
    </row>
    <row r="157" spans="2:19" s="26" customFormat="1" ht="99.75" customHeight="1">
      <c r="B157" s="91">
        <f t="shared" si="4"/>
        <v>143</v>
      </c>
      <c r="C157" s="92" t="str">
        <f>+IFERROR(INDEX(Hoja1!$A$2:$A$82,MATCH(J157,Hoja1!$H$2:$H$82,0)),"")</f>
        <v/>
      </c>
      <c r="D157" s="93" t="str">
        <f>IFERROR(VLOOKUP(C157,Hoja1!$A$2:$H$82,4,0),"")</f>
        <v/>
      </c>
      <c r="E157" s="93" t="str">
        <f>+IFERROR(VLOOKUP(C157,Hoja1!$A$1:$J$82,10,0),"")</f>
        <v/>
      </c>
      <c r="F157" s="93" t="str">
        <f>+IFERROR(VLOOKUP(C157,Hoja1!$A$1:$I$82,3,0),"")</f>
        <v/>
      </c>
      <c r="G157" s="92" t="str">
        <f>+IFERROR(VLOOKUP(C157,Hoja1!$A$1:$K$82,11,0),"")</f>
        <v/>
      </c>
      <c r="H157" s="94" t="str">
        <f>+IFERROR(VLOOKUP(C157,Hoja1!$A$1:$L$82,12,0),"")</f>
        <v/>
      </c>
      <c r="I157" s="30"/>
      <c r="J157" s="47">
        <v>143</v>
      </c>
      <c r="K157" s="46"/>
      <c r="M157" s="44"/>
      <c r="N157" s="32"/>
      <c r="O157" s="32"/>
      <c r="P157" s="32"/>
      <c r="Q157" s="32"/>
      <c r="R157" s="32"/>
      <c r="S157" s="32"/>
    </row>
    <row r="158" spans="2:19" s="26" customFormat="1" ht="99.75" customHeight="1">
      <c r="B158" s="91">
        <f t="shared" si="4"/>
        <v>144</v>
      </c>
      <c r="C158" s="92" t="str">
        <f>+IFERROR(INDEX(Hoja1!$A$2:$A$82,MATCH(J158,Hoja1!$H$2:$H$82,0)),"")</f>
        <v/>
      </c>
      <c r="D158" s="93" t="str">
        <f>IFERROR(VLOOKUP(C158,Hoja1!$A$2:$H$82,4,0),"")</f>
        <v/>
      </c>
      <c r="E158" s="93" t="str">
        <f>+IFERROR(VLOOKUP(C158,Hoja1!$A$1:$J$82,10,0),"")</f>
        <v/>
      </c>
      <c r="F158" s="93" t="str">
        <f>+IFERROR(VLOOKUP(C158,Hoja1!$A$1:$I$82,3,0),"")</f>
        <v/>
      </c>
      <c r="G158" s="92" t="str">
        <f>+IFERROR(VLOOKUP(C158,Hoja1!$A$1:$K$82,11,0),"")</f>
        <v/>
      </c>
      <c r="H158" s="94" t="str">
        <f>+IFERROR(VLOOKUP(C158,Hoja1!$A$1:$L$82,12,0),"")</f>
        <v/>
      </c>
      <c r="I158" s="30"/>
      <c r="J158" s="47">
        <v>144</v>
      </c>
      <c r="K158" s="46"/>
      <c r="M158" s="44"/>
      <c r="N158" s="32"/>
      <c r="O158" s="32"/>
      <c r="P158" s="32"/>
      <c r="Q158" s="32"/>
      <c r="R158" s="32"/>
      <c r="S158" s="32"/>
    </row>
    <row r="159" spans="2:19" s="26" customFormat="1" ht="99.75" customHeight="1">
      <c r="B159" s="91">
        <f t="shared" si="4"/>
        <v>145</v>
      </c>
      <c r="C159" s="92" t="str">
        <f>+IFERROR(INDEX(Hoja1!$A$2:$A$82,MATCH(J159,Hoja1!$H$2:$H$82,0)),"")</f>
        <v/>
      </c>
      <c r="D159" s="93" t="str">
        <f>IFERROR(VLOOKUP(C159,Hoja1!$A$2:$H$82,4,0),"")</f>
        <v/>
      </c>
      <c r="E159" s="93" t="str">
        <f>+IFERROR(VLOOKUP(C159,Hoja1!$A$1:$J$82,10,0),"")</f>
        <v/>
      </c>
      <c r="F159" s="93" t="str">
        <f>+IFERROR(VLOOKUP(C159,Hoja1!$A$1:$I$82,3,0),"")</f>
        <v/>
      </c>
      <c r="G159" s="92" t="str">
        <f>+IFERROR(VLOOKUP(C159,Hoja1!$A$1:$K$82,11,0),"")</f>
        <v/>
      </c>
      <c r="H159" s="94" t="str">
        <f>+IFERROR(VLOOKUP(C159,Hoja1!$A$1:$L$82,12,0),"")</f>
        <v/>
      </c>
      <c r="I159" s="30"/>
      <c r="J159" s="47">
        <v>145</v>
      </c>
      <c r="K159" s="46"/>
      <c r="M159" s="44"/>
      <c r="N159" s="32"/>
      <c r="O159" s="32"/>
      <c r="P159" s="32"/>
      <c r="Q159" s="32"/>
      <c r="R159" s="32"/>
      <c r="S159" s="32"/>
    </row>
    <row r="160" spans="2:19" s="26" customFormat="1" ht="99.75" customHeight="1">
      <c r="B160" s="95">
        <f t="shared" si="4"/>
        <v>146</v>
      </c>
      <c r="C160" s="92" t="str">
        <f>+IFERROR(INDEX(Hoja1!$A$2:$A$82,MATCH(J160,Hoja1!$H$2:$H$82,0)),"")</f>
        <v/>
      </c>
      <c r="D160" s="93" t="str">
        <f>IFERROR(VLOOKUP(C160,Hoja1!$A$2:$H$82,4,0),"")</f>
        <v/>
      </c>
      <c r="E160" s="93" t="str">
        <f>+IFERROR(VLOOKUP(C160,Hoja1!$A$1:$J$82,10,0),"")</f>
        <v/>
      </c>
      <c r="F160" s="93" t="str">
        <f>+IFERROR(VLOOKUP(C160,Hoja1!$A$1:$I$82,3,0),"")</f>
        <v/>
      </c>
      <c r="G160" s="92" t="str">
        <f>+IFERROR(VLOOKUP(C160,Hoja1!$A$1:$K$82,11,0),"")</f>
        <v/>
      </c>
      <c r="H160" s="94" t="str">
        <f>+IFERROR(VLOOKUP(C160,Hoja1!$A$1:$L$82,12,0),"")</f>
        <v/>
      </c>
      <c r="I160" s="30"/>
      <c r="J160" s="47">
        <v>146</v>
      </c>
      <c r="K160" s="46"/>
      <c r="M160" s="44"/>
      <c r="N160" s="32"/>
      <c r="O160" s="32"/>
      <c r="P160" s="32"/>
      <c r="Q160" s="32"/>
      <c r="R160" s="32"/>
      <c r="S160" s="32"/>
    </row>
    <row r="161" spans="2:19" s="26" customFormat="1" ht="99.75" customHeight="1">
      <c r="B161" s="91">
        <f t="shared" si="4"/>
        <v>147</v>
      </c>
      <c r="C161" s="92" t="str">
        <f>+IFERROR(INDEX(Hoja1!$A$2:$A$82,MATCH(J161,Hoja1!$H$2:$H$82,0)),"")</f>
        <v/>
      </c>
      <c r="D161" s="93" t="str">
        <f>IFERROR(VLOOKUP(C161,Hoja1!$A$2:$H$82,4,0),"")</f>
        <v/>
      </c>
      <c r="E161" s="93" t="str">
        <f>+IFERROR(VLOOKUP(C161,Hoja1!$A$1:$J$82,10,0),"")</f>
        <v/>
      </c>
      <c r="F161" s="93" t="str">
        <f>+IFERROR(VLOOKUP(C161,Hoja1!$A$1:$I$82,3,0),"")</f>
        <v/>
      </c>
      <c r="G161" s="92" t="str">
        <f>+IFERROR(VLOOKUP(C161,Hoja1!$A$1:$K$82,11,0),"")</f>
        <v/>
      </c>
      <c r="H161" s="94" t="str">
        <f>+IFERROR(VLOOKUP(C161,Hoja1!$A$1:$L$82,12,0),"")</f>
        <v/>
      </c>
      <c r="I161" s="30"/>
      <c r="J161" s="47">
        <v>147</v>
      </c>
      <c r="K161" s="46"/>
      <c r="M161" s="44"/>
      <c r="N161" s="32"/>
      <c r="O161" s="32"/>
      <c r="P161" s="32"/>
      <c r="Q161" s="32"/>
      <c r="R161" s="32"/>
      <c r="S161" s="32"/>
    </row>
    <row r="162" spans="2:19" s="26" customFormat="1" ht="99.75" customHeight="1">
      <c r="B162" s="91">
        <f t="shared" si="4"/>
        <v>148</v>
      </c>
      <c r="C162" s="92" t="str">
        <f>+IFERROR(INDEX(Hoja1!$A$2:$A$82,MATCH(J162,Hoja1!$H$2:$H$82,0)),"")</f>
        <v/>
      </c>
      <c r="D162" s="93" t="str">
        <f>IFERROR(VLOOKUP(C162,Hoja1!$A$2:$H$82,4,0),"")</f>
        <v/>
      </c>
      <c r="E162" s="93" t="str">
        <f>+IFERROR(VLOOKUP(C162,Hoja1!$A$1:$J$82,10,0),"")</f>
        <v/>
      </c>
      <c r="F162" s="93" t="str">
        <f>+IFERROR(VLOOKUP(C162,Hoja1!$A$1:$I$82,3,0),"")</f>
        <v/>
      </c>
      <c r="G162" s="92" t="str">
        <f>+IFERROR(VLOOKUP(C162,Hoja1!$A$1:$K$82,11,0),"")</f>
        <v/>
      </c>
      <c r="H162" s="94" t="str">
        <f>+IFERROR(VLOOKUP(C162,Hoja1!$A$1:$L$82,12,0),"")</f>
        <v/>
      </c>
      <c r="I162" s="30"/>
      <c r="J162" s="47">
        <v>148</v>
      </c>
      <c r="K162" s="46"/>
      <c r="M162" s="44"/>
      <c r="N162" s="32"/>
      <c r="O162" s="32"/>
      <c r="P162" s="32"/>
      <c r="Q162" s="32"/>
      <c r="R162" s="32"/>
      <c r="S162" s="32"/>
    </row>
    <row r="163" spans="2:19" s="26" customFormat="1" ht="99.75" customHeight="1">
      <c r="B163" s="91">
        <f t="shared" si="4"/>
        <v>149</v>
      </c>
      <c r="C163" s="92" t="str">
        <f>+IFERROR(INDEX(Hoja1!$A$2:$A$82,MATCH(J163,Hoja1!$H$2:$H$82,0)),"")</f>
        <v/>
      </c>
      <c r="D163" s="93" t="str">
        <f>IFERROR(VLOOKUP(C163,Hoja1!$A$2:$H$82,4,0),"")</f>
        <v/>
      </c>
      <c r="E163" s="93" t="str">
        <f>+IFERROR(VLOOKUP(C163,Hoja1!$A$1:$J$82,10,0),"")</f>
        <v/>
      </c>
      <c r="F163" s="93" t="str">
        <f>+IFERROR(VLOOKUP(C163,Hoja1!$A$1:$I$82,3,0),"")</f>
        <v/>
      </c>
      <c r="G163" s="92" t="str">
        <f>+IFERROR(VLOOKUP(C163,Hoja1!$A$1:$K$82,11,0),"")</f>
        <v/>
      </c>
      <c r="H163" s="94" t="str">
        <f>+IFERROR(VLOOKUP(C163,Hoja1!$A$1:$L$82,12,0),"")</f>
        <v/>
      </c>
      <c r="I163" s="30"/>
      <c r="J163" s="47">
        <v>149</v>
      </c>
      <c r="K163" s="46"/>
      <c r="M163" s="44"/>
      <c r="N163" s="32"/>
      <c r="O163" s="32"/>
      <c r="P163" s="32"/>
      <c r="Q163" s="32"/>
      <c r="R163" s="32"/>
      <c r="S163" s="32"/>
    </row>
    <row r="164" spans="2:19" s="26" customFormat="1" ht="99.75" customHeight="1" thickBot="1">
      <c r="B164" s="96">
        <f t="shared" si="4"/>
        <v>150</v>
      </c>
      <c r="C164" s="97" t="str">
        <f>+IFERROR(INDEX(Hoja1!$A$2:$A$82,MATCH(J164,Hoja1!$H$2:$H$82,0)),"")</f>
        <v/>
      </c>
      <c r="D164" s="98" t="str">
        <f>IFERROR(VLOOKUP(C164,Hoja1!$A$2:$H$82,4,0),"")</f>
        <v/>
      </c>
      <c r="E164" s="98" t="str">
        <f>+IFERROR(VLOOKUP(C164,Hoja1!$A$1:$J$82,10,0),"")</f>
        <v/>
      </c>
      <c r="F164" s="98" t="str">
        <f>+IFERROR(VLOOKUP(C164,Hoja1!$A$1:$I$82,3,0),"")</f>
        <v/>
      </c>
      <c r="G164" s="97" t="str">
        <f>+IFERROR(VLOOKUP(C164,Hoja1!$A$1:$K$82,11,0),"")</f>
        <v/>
      </c>
      <c r="H164" s="99" t="str">
        <f>+IFERROR(VLOOKUP(C164,Hoja1!$A$1:$L$82,12,0),"")</f>
        <v/>
      </c>
      <c r="I164" s="31"/>
      <c r="J164" s="47">
        <v>150</v>
      </c>
      <c r="K164" s="46"/>
      <c r="M164" s="44"/>
      <c r="N164" s="32"/>
      <c r="O164" s="32"/>
      <c r="P164" s="32"/>
      <c r="Q164" s="32"/>
      <c r="R164" s="32"/>
      <c r="S164" s="32"/>
    </row>
  </sheetData>
  <sheetProtection password="D72A" sheet="1" objects="1" scenarios="1" formatCells="0" formatColumns="0" formatRows="0"/>
  <mergeCells count="31">
    <mergeCell ref="K13:K14"/>
    <mergeCell ref="B9:C9"/>
    <mergeCell ref="H13:H14"/>
    <mergeCell ref="F10:G10"/>
    <mergeCell ref="F9:G9"/>
    <mergeCell ref="B11:I11"/>
    <mergeCell ref="B13:B14"/>
    <mergeCell ref="C13:F13"/>
    <mergeCell ref="G13:G14"/>
    <mergeCell ref="I13:I14"/>
    <mergeCell ref="L68:L81"/>
    <mergeCell ref="L82:L95"/>
    <mergeCell ref="B8:C8"/>
    <mergeCell ref="D8:E8"/>
    <mergeCell ref="B4:L4"/>
    <mergeCell ref="B6:C6"/>
    <mergeCell ref="D6:E6"/>
    <mergeCell ref="B7:C7"/>
    <mergeCell ref="D7:E7"/>
    <mergeCell ref="F6:G6"/>
    <mergeCell ref="F7:G7"/>
    <mergeCell ref="F8:G8"/>
    <mergeCell ref="D9:E9"/>
    <mergeCell ref="B10:C10"/>
    <mergeCell ref="D10:E10"/>
    <mergeCell ref="L13:L14"/>
    <mergeCell ref="N13:S13"/>
    <mergeCell ref="M13:M14"/>
    <mergeCell ref="L15:L38"/>
    <mergeCell ref="L39:L55"/>
    <mergeCell ref="L56:L67"/>
  </mergeCells>
  <conditionalFormatting sqref="C15">
    <cfRule type="cellIs" dxfId="41" priority="34" operator="equal">
      <formula>$I$15</formula>
    </cfRule>
    <cfRule type="cellIs" dxfId="40" priority="35" operator="equal">
      <formula>$I$15</formula>
    </cfRule>
  </conditionalFormatting>
  <conditionalFormatting sqref="K15:K95">
    <cfRule type="cellIs" dxfId="39" priority="6" operator="equal">
      <formula>$I$7</formula>
    </cfRule>
    <cfRule type="cellIs" dxfId="38" priority="7" operator="equal">
      <formula>$I$8</formula>
    </cfRule>
    <cfRule type="cellIs" dxfId="37" priority="8" operator="equal">
      <formula>$I$9</formula>
    </cfRule>
    <cfRule type="cellIs" dxfId="36" priority="9" operator="between">
      <formula>0</formula>
      <formula>$I$10</formula>
    </cfRule>
  </conditionalFormatting>
  <conditionalFormatting sqref="L15 L39 L56 L68 L82">
    <cfRule type="cellIs" dxfId="35" priority="15" operator="between">
      <formula>0.76</formula>
      <formula>1</formula>
    </cfRule>
    <cfRule type="cellIs" dxfId="34" priority="16" operator="between">
      <formula>0.51</formula>
      <formula>0.75</formula>
    </cfRule>
    <cfRule type="cellIs" dxfId="33" priority="17" operator="between">
      <formula>0.26</formula>
      <formula>0.5</formula>
    </cfRule>
    <cfRule type="cellIs" dxfId="32" priority="18" operator="between">
      <formula>0</formula>
      <formula>0.25</formula>
    </cfRule>
  </conditionalFormatting>
  <dataValidations count="1">
    <dataValidation allowBlank="1" showInputMessage="1" showErrorMessage="1" error="Por favor seleccione el id de requerimiento de la lista desplegable." sqref="C15:C164" xr:uid="{00000000-0002-0000-0800-000000000000}"/>
  </dataValidations>
  <pageMargins left="0.7" right="0.7" top="0.75" bottom="0.75" header="0.3" footer="0.3"/>
  <pageSetup orientation="portrait" r:id="rId1"/>
  <ignoredErrors>
    <ignoredError sqref="G16:H164 K15:K89 K90:K91 K92:K95 L82 L56 L39 L15 L12:L14 L16:L38 L40:L55 L57:L81"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5E2F26C5-CF1D-4EC6-BBEF-362A038FC912}">
            <xm:f>NOT(ISERROR(SEARCH($H$8,I15)))</xm:f>
            <xm:f>$H$8</xm:f>
            <x14:dxf>
              <fill>
                <patternFill>
                  <bgColor rgb="FF92D050"/>
                </patternFill>
              </fill>
            </x14:dxf>
          </x14:cfRule>
          <x14:cfRule type="containsText" priority="2" operator="containsText" id="{0224A7CA-1E76-4F4F-A8C5-40297882330D}">
            <xm:f>NOT(ISERROR(SEARCH($F$7,I15)))</xm:f>
            <xm:f>$F$7</xm:f>
            <x14:dxf>
              <fill>
                <patternFill>
                  <bgColor rgb="FF00B050"/>
                </patternFill>
              </fill>
            </x14:dxf>
          </x14:cfRule>
          <x14:cfRule type="containsText" priority="3" operator="containsText" id="{0E8AB5C2-6A6C-4527-B832-E0C6EBC38C20}">
            <xm:f>NOT(ISERROR(SEARCH($F$8,I15)))</xm:f>
            <xm:f>$F$8</xm:f>
            <x14:dxf>
              <fill>
                <patternFill>
                  <bgColor rgb="FF00B0F0"/>
                </patternFill>
              </fill>
            </x14:dxf>
          </x14:cfRule>
          <x14:cfRule type="containsText" priority="4" operator="containsText" id="{C640A1DB-4AF0-46BD-A428-31AC18045175}">
            <xm:f>NOT(ISERROR(SEARCH($F$9,I15)))</xm:f>
            <xm:f>$F$9</xm:f>
            <x14:dxf>
              <fill>
                <patternFill>
                  <bgColor rgb="FFFFFF00"/>
                </patternFill>
              </fill>
            </x14:dxf>
          </x14:cfRule>
          <x14:cfRule type="containsText" priority="5" operator="containsText" id="{19CC59A2-16AE-491B-8AEA-184D76FD7C64}">
            <xm:f>NOT(ISERROR(SEARCH($F$10,I15)))</xm:f>
            <xm:f>$F$10</xm:f>
            <x14:dxf>
              <fill>
                <patternFill>
                  <bgColor rgb="FFFF0000"/>
                </patternFill>
              </fill>
            </x14:dxf>
          </x14:cfRule>
          <xm:sqref>I15:I95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33"/>
  <sheetViews>
    <sheetView tabSelected="1" topLeftCell="B14" zoomScale="59" zoomScaleNormal="59" workbookViewId="0">
      <selection activeCell="F21" sqref="F21:M21"/>
    </sheetView>
  </sheetViews>
  <sheetFormatPr defaultColWidth="11.42578125" defaultRowHeight="12.75"/>
  <cols>
    <col min="1" max="1" width="3.28515625" style="143" customWidth="1"/>
    <col min="2" max="2" width="3.42578125" style="143" customWidth="1"/>
    <col min="3" max="3" width="35.5703125" style="143" customWidth="1"/>
    <col min="4" max="4" width="2.5703125" style="143" customWidth="1"/>
    <col min="5" max="5" width="38.7109375" style="143" customWidth="1"/>
    <col min="6" max="6" width="10.7109375" style="143" customWidth="1"/>
    <col min="7" max="7" width="23.42578125" style="143" customWidth="1"/>
    <col min="8" max="8" width="7.5703125" style="143" customWidth="1"/>
    <col min="9" max="9" width="98.5703125" style="143" customWidth="1"/>
    <col min="10" max="10" width="5.7109375" style="143" customWidth="1"/>
    <col min="11" max="11" width="28.28515625" style="143" customWidth="1"/>
    <col min="12" max="12" width="4.28515625" style="143" customWidth="1"/>
    <col min="13" max="13" width="117.140625" style="143" customWidth="1"/>
    <col min="14" max="14" width="5.7109375" style="143" customWidth="1"/>
    <col min="15" max="15" width="24.7109375" style="143" customWidth="1"/>
    <col min="16" max="16" width="7" style="143" customWidth="1"/>
    <col min="17" max="16384" width="11.42578125" style="143"/>
  </cols>
  <sheetData>
    <row r="1" spans="2:15" ht="13.5" thickBot="1"/>
    <row r="2" spans="2:15" ht="18" customHeight="1" thickTop="1">
      <c r="B2" s="144"/>
      <c r="C2" s="145"/>
      <c r="D2" s="145"/>
      <c r="E2" s="145"/>
      <c r="F2" s="145"/>
      <c r="G2" s="145"/>
      <c r="H2" s="145"/>
      <c r="I2" s="145"/>
      <c r="J2" s="145"/>
      <c r="K2" s="145"/>
      <c r="L2" s="145"/>
      <c r="M2" s="145"/>
      <c r="N2" s="145"/>
      <c r="O2" s="145"/>
    </row>
    <row r="3" spans="2:15" ht="16.5">
      <c r="B3" s="146"/>
      <c r="E3" s="637" t="s">
        <v>574</v>
      </c>
      <c r="F3" s="639" t="s">
        <v>575</v>
      </c>
      <c r="G3" s="639"/>
      <c r="H3" s="639"/>
      <c r="I3" s="639"/>
      <c r="J3" s="639"/>
      <c r="K3" s="639"/>
      <c r="L3" s="639"/>
      <c r="M3" s="639"/>
      <c r="N3" s="141"/>
      <c r="O3" s="141"/>
    </row>
    <row r="4" spans="2:15" ht="16.5">
      <c r="B4" s="146"/>
      <c r="E4" s="638"/>
      <c r="F4" s="639"/>
      <c r="G4" s="639"/>
      <c r="H4" s="639"/>
      <c r="I4" s="639"/>
      <c r="J4" s="639"/>
      <c r="K4" s="639"/>
      <c r="L4" s="639"/>
      <c r="M4" s="639"/>
      <c r="N4" s="141"/>
      <c r="O4" s="141"/>
    </row>
    <row r="5" spans="2:15" ht="25.5">
      <c r="B5" s="146"/>
      <c r="E5" s="147" t="s">
        <v>576</v>
      </c>
      <c r="F5" s="640" t="s">
        <v>577</v>
      </c>
      <c r="G5" s="641"/>
      <c r="H5" s="641"/>
      <c r="I5" s="641"/>
      <c r="J5" s="641"/>
      <c r="K5" s="641"/>
      <c r="L5" s="641"/>
      <c r="M5" s="642"/>
      <c r="N5" s="142"/>
      <c r="O5" s="142"/>
    </row>
    <row r="6" spans="2:15" ht="17.25" thickBot="1">
      <c r="B6" s="146"/>
      <c r="E6" s="148"/>
      <c r="F6" s="142"/>
      <c r="G6" s="142"/>
      <c r="H6" s="142"/>
      <c r="I6" s="142"/>
      <c r="J6" s="142"/>
      <c r="K6" s="142"/>
      <c r="L6" s="142"/>
    </row>
    <row r="7" spans="2:15" ht="27" thickBot="1">
      <c r="B7" s="146"/>
      <c r="I7" s="643" t="s">
        <v>578</v>
      </c>
      <c r="J7" s="644"/>
      <c r="K7" s="645"/>
      <c r="M7" s="149">
        <v>0.83</v>
      </c>
      <c r="N7" s="150"/>
      <c r="O7" s="150"/>
    </row>
    <row r="8" spans="2:15" ht="15.75">
      <c r="B8" s="146"/>
      <c r="M8" s="151"/>
      <c r="N8" s="151"/>
      <c r="O8" s="151"/>
    </row>
    <row r="9" spans="2:15" ht="18" customHeight="1">
      <c r="B9" s="146"/>
    </row>
    <row r="10" spans="2:15">
      <c r="B10" s="146"/>
    </row>
    <row r="11" spans="2:15">
      <c r="B11" s="146"/>
    </row>
    <row r="12" spans="2:15">
      <c r="B12" s="146"/>
    </row>
    <row r="13" spans="2:15">
      <c r="B13" s="146"/>
    </row>
    <row r="14" spans="2:15">
      <c r="B14" s="146"/>
    </row>
    <row r="15" spans="2:15">
      <c r="B15" s="146"/>
    </row>
    <row r="16" spans="2:15">
      <c r="B16" s="146"/>
    </row>
    <row r="17" spans="2:15" ht="23.25">
      <c r="B17" s="146"/>
      <c r="C17" s="646" t="s">
        <v>579</v>
      </c>
      <c r="D17" s="647"/>
      <c r="E17" s="647"/>
      <c r="F17" s="647"/>
      <c r="G17" s="647"/>
      <c r="H17" s="647"/>
      <c r="I17" s="647"/>
      <c r="J17" s="647"/>
      <c r="K17" s="647"/>
      <c r="L17" s="647"/>
      <c r="M17" s="648"/>
      <c r="N17" s="152"/>
      <c r="O17" s="152"/>
    </row>
    <row r="18" spans="2:15" ht="15.75">
      <c r="B18" s="146"/>
      <c r="C18" s="153"/>
      <c r="D18" s="153"/>
      <c r="E18" s="153"/>
      <c r="F18" s="153"/>
      <c r="G18" s="153"/>
      <c r="H18" s="153"/>
      <c r="I18" s="153"/>
      <c r="J18" s="153"/>
      <c r="K18" s="153"/>
      <c r="L18" s="153"/>
      <c r="M18" s="153"/>
      <c r="N18" s="154"/>
      <c r="O18" s="154"/>
    </row>
    <row r="19" spans="2:15" ht="59.45" customHeight="1">
      <c r="B19" s="146"/>
      <c r="C19" s="627" t="s">
        <v>580</v>
      </c>
      <c r="D19" s="628"/>
      <c r="E19" s="155" t="s">
        <v>581</v>
      </c>
      <c r="F19" s="634" t="s">
        <v>582</v>
      </c>
      <c r="G19" s="635"/>
      <c r="H19" s="635"/>
      <c r="I19" s="635"/>
      <c r="J19" s="635"/>
      <c r="K19" s="635"/>
      <c r="L19" s="635"/>
      <c r="M19" s="636"/>
      <c r="N19" s="156"/>
      <c r="O19" s="156"/>
    </row>
    <row r="20" spans="2:15" ht="64.900000000000006" customHeight="1">
      <c r="B20" s="146"/>
      <c r="C20" s="627" t="s">
        <v>583</v>
      </c>
      <c r="D20" s="628"/>
      <c r="E20" s="155" t="s">
        <v>584</v>
      </c>
      <c r="F20" s="629" t="s">
        <v>585</v>
      </c>
      <c r="G20" s="630"/>
      <c r="H20" s="630"/>
      <c r="I20" s="630"/>
      <c r="J20" s="630"/>
      <c r="K20" s="630"/>
      <c r="L20" s="630"/>
      <c r="M20" s="631"/>
      <c r="N20" s="156"/>
      <c r="O20" s="156"/>
    </row>
    <row r="21" spans="2:15" ht="87.6" customHeight="1">
      <c r="B21" s="146"/>
      <c r="C21" s="632" t="s">
        <v>586</v>
      </c>
      <c r="D21" s="633"/>
      <c r="E21" s="155" t="s">
        <v>584</v>
      </c>
      <c r="F21" s="634" t="s">
        <v>587</v>
      </c>
      <c r="G21" s="635"/>
      <c r="H21" s="635"/>
      <c r="I21" s="635"/>
      <c r="J21" s="635"/>
      <c r="K21" s="635"/>
      <c r="L21" s="635"/>
      <c r="M21" s="636"/>
      <c r="N21" s="156"/>
      <c r="O21" s="156"/>
    </row>
    <row r="22" spans="2:15" ht="13.5" thickBot="1">
      <c r="B22" s="146"/>
      <c r="G22" s="157"/>
    </row>
    <row r="23" spans="2:15" ht="87" customHeight="1" thickBot="1">
      <c r="B23" s="146"/>
      <c r="C23" s="158" t="s">
        <v>50</v>
      </c>
      <c r="D23" s="159"/>
      <c r="E23" s="160" t="s">
        <v>588</v>
      </c>
      <c r="F23" s="159"/>
      <c r="G23" s="160" t="s">
        <v>589</v>
      </c>
      <c r="H23" s="159"/>
      <c r="I23" s="161" t="s">
        <v>590</v>
      </c>
      <c r="J23" s="162"/>
      <c r="K23" s="163" t="s">
        <v>591</v>
      </c>
      <c r="L23" s="162"/>
      <c r="M23" s="164" t="s">
        <v>592</v>
      </c>
      <c r="N23" s="162"/>
      <c r="O23" s="165" t="s">
        <v>593</v>
      </c>
    </row>
    <row r="24" spans="2:15" ht="23.25">
      <c r="B24" s="146"/>
      <c r="C24" s="166"/>
      <c r="D24"/>
      <c r="E24"/>
      <c r="F24"/>
      <c r="G24"/>
      <c r="H24"/>
      <c r="I24" s="167"/>
      <c r="J24"/>
      <c r="K24" s="167"/>
      <c r="L24"/>
      <c r="M24"/>
      <c r="N24"/>
      <c r="O24"/>
    </row>
    <row r="25" spans="2:15" ht="409.5">
      <c r="B25" s="146"/>
      <c r="C25" s="168" t="s">
        <v>44</v>
      </c>
      <c r="D25" s="169"/>
      <c r="E25" s="170" t="s">
        <v>584</v>
      </c>
      <c r="F25" s="171"/>
      <c r="G25" s="172">
        <v>0.83</v>
      </c>
      <c r="H25" s="171"/>
      <c r="I25" s="173" t="s">
        <v>594</v>
      </c>
      <c r="J25" s="174"/>
      <c r="K25" s="175">
        <v>0.65</v>
      </c>
      <c r="L25" s="176"/>
      <c r="M25" s="177" t="s">
        <v>595</v>
      </c>
      <c r="N25" s="178"/>
      <c r="O25" s="179">
        <f>G25-K25</f>
        <v>0.17999999999999994</v>
      </c>
    </row>
    <row r="26" spans="2:15" ht="23.25">
      <c r="B26" s="146"/>
      <c r="C26" s="166"/>
      <c r="D26"/>
      <c r="E26" s="180"/>
      <c r="F26"/>
      <c r="G26" s="181"/>
      <c r="H26"/>
      <c r="I26" s="182"/>
      <c r="J26"/>
      <c r="K26" s="167"/>
      <c r="L26"/>
      <c r="M26" s="183"/>
      <c r="N26" s="183"/>
      <c r="O26" s="184"/>
    </row>
    <row r="27" spans="2:15" ht="409.5">
      <c r="B27" s="146"/>
      <c r="C27" s="185" t="s">
        <v>596</v>
      </c>
      <c r="D27" s="169"/>
      <c r="E27" s="170" t="s">
        <v>584</v>
      </c>
      <c r="F27"/>
      <c r="G27" s="172">
        <v>0.85</v>
      </c>
      <c r="H27"/>
      <c r="I27" s="186" t="s">
        <v>597</v>
      </c>
      <c r="J27"/>
      <c r="K27" s="175">
        <v>0.65</v>
      </c>
      <c r="L27" s="187"/>
      <c r="M27" s="177" t="s">
        <v>598</v>
      </c>
      <c r="N27" s="178"/>
      <c r="O27" s="179">
        <f>G27-K27</f>
        <v>0.19999999999999996</v>
      </c>
    </row>
    <row r="28" spans="2:15" ht="23.25">
      <c r="B28" s="146"/>
      <c r="C28" s="166"/>
      <c r="D28"/>
      <c r="E28" s="180"/>
      <c r="F28"/>
      <c r="G28" s="181"/>
      <c r="H28"/>
      <c r="I28" s="182"/>
      <c r="J28"/>
      <c r="K28" s="167"/>
      <c r="L28"/>
      <c r="M28" s="183"/>
      <c r="N28" s="183"/>
      <c r="O28" s="184"/>
    </row>
    <row r="29" spans="2:15" ht="409.5">
      <c r="B29" s="146"/>
      <c r="C29" s="188" t="s">
        <v>599</v>
      </c>
      <c r="D29" s="169"/>
      <c r="E29" s="170" t="s">
        <v>584</v>
      </c>
      <c r="F29"/>
      <c r="G29" s="172">
        <v>0.79</v>
      </c>
      <c r="H29"/>
      <c r="I29" s="186" t="s">
        <v>600</v>
      </c>
      <c r="J29"/>
      <c r="K29" s="175">
        <v>0.75</v>
      </c>
      <c r="L29" s="187"/>
      <c r="M29" s="177" t="s">
        <v>601</v>
      </c>
      <c r="N29" s="178"/>
      <c r="O29" s="179">
        <f>G29-K29</f>
        <v>4.0000000000000036E-2</v>
      </c>
    </row>
    <row r="30" spans="2:15" ht="23.25">
      <c r="B30" s="146"/>
      <c r="C30" s="166"/>
      <c r="D30"/>
      <c r="E30" s="180"/>
      <c r="F30"/>
      <c r="G30" s="181"/>
      <c r="H30"/>
      <c r="I30" s="182"/>
      <c r="J30"/>
      <c r="K30" s="167"/>
      <c r="L30"/>
      <c r="M30" s="183"/>
      <c r="N30" s="183"/>
      <c r="O30" s="184"/>
    </row>
    <row r="31" spans="2:15" ht="409.5">
      <c r="B31" s="146"/>
      <c r="C31" s="189" t="s">
        <v>602</v>
      </c>
      <c r="D31" s="169"/>
      <c r="E31" s="170" t="s">
        <v>584</v>
      </c>
      <c r="F31"/>
      <c r="G31" s="172">
        <v>0.75</v>
      </c>
      <c r="H31"/>
      <c r="I31" s="186" t="s">
        <v>603</v>
      </c>
      <c r="J31"/>
      <c r="K31" s="175">
        <v>0.71</v>
      </c>
      <c r="L31" s="187"/>
      <c r="M31" s="177" t="s">
        <v>604</v>
      </c>
      <c r="N31" s="178"/>
      <c r="O31" s="179">
        <f>G31-K31</f>
        <v>4.0000000000000036E-2</v>
      </c>
    </row>
    <row r="32" spans="2:15" ht="23.25">
      <c r="B32" s="146"/>
      <c r="C32" s="166"/>
      <c r="D32"/>
      <c r="E32" s="180"/>
      <c r="F32"/>
      <c r="G32" s="181"/>
      <c r="H32"/>
      <c r="I32" s="182"/>
      <c r="J32"/>
      <c r="K32" s="167"/>
      <c r="L32"/>
      <c r="M32" s="183"/>
      <c r="N32" s="183"/>
      <c r="O32" s="184"/>
    </row>
    <row r="33" spans="2:15" ht="409.6" thickBot="1">
      <c r="B33" s="146"/>
      <c r="C33" s="190" t="s">
        <v>605</v>
      </c>
      <c r="D33" s="169"/>
      <c r="E33" s="170" t="s">
        <v>584</v>
      </c>
      <c r="F33"/>
      <c r="G33" s="172">
        <v>0.93</v>
      </c>
      <c r="H33"/>
      <c r="I33" s="191" t="s">
        <v>606</v>
      </c>
      <c r="J33"/>
      <c r="K33" s="175">
        <v>0.79</v>
      </c>
      <c r="L33" s="187"/>
      <c r="M33" s="177" t="s">
        <v>607</v>
      </c>
      <c r="N33" s="178"/>
      <c r="O33" s="179">
        <f>G33-K33</f>
        <v>0.14000000000000001</v>
      </c>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K25">
    <cfRule type="cellIs" dxfId="23" priority="17" operator="between">
      <formula>0.76</formula>
      <formula>1</formula>
    </cfRule>
    <cfRule type="cellIs" dxfId="22" priority="18" operator="between">
      <formula>0.51</formula>
      <formula>0.75</formula>
    </cfRule>
    <cfRule type="cellIs" dxfId="21" priority="19" operator="between">
      <formula>0.26</formula>
      <formula>0.5</formula>
    </cfRule>
  </conditionalFormatting>
  <conditionalFormatting sqref="K27">
    <cfRule type="cellIs" dxfId="20" priority="13" operator="between">
      <formula>0.76</formula>
      <formula>1</formula>
    </cfRule>
    <cfRule type="cellIs" dxfId="19" priority="14" operator="between">
      <formula>0.51</formula>
      <formula>0.75</formula>
    </cfRule>
    <cfRule type="cellIs" dxfId="18" priority="15" operator="between">
      <formula>0.26</formula>
      <formula>0.5</formula>
    </cfRule>
  </conditionalFormatting>
  <conditionalFormatting sqref="K29">
    <cfRule type="cellIs" dxfId="17" priority="9" operator="between">
      <formula>0.76</formula>
      <formula>1</formula>
    </cfRule>
    <cfRule type="cellIs" dxfId="16" priority="10" operator="between">
      <formula>0.51</formula>
      <formula>0.75</formula>
    </cfRule>
    <cfRule type="cellIs" dxfId="15" priority="11" operator="between">
      <formula>0.26</formula>
      <formula>0.5</formula>
    </cfRule>
  </conditionalFormatting>
  <conditionalFormatting sqref="K31">
    <cfRule type="cellIs" dxfId="14" priority="5" operator="between">
      <formula>0.76</formula>
      <formula>1</formula>
    </cfRule>
    <cfRule type="cellIs" dxfId="13" priority="6" operator="between">
      <formula>0.51</formula>
      <formula>0.75</formula>
    </cfRule>
    <cfRule type="cellIs" dxfId="12" priority="7" operator="between">
      <formula>0.26</formula>
      <formula>0.5</formula>
    </cfRule>
  </conditionalFormatting>
  <conditionalFormatting sqref="K33">
    <cfRule type="cellIs" dxfId="11" priority="1" operator="between">
      <formula>0.76</formula>
      <formula>1</formula>
    </cfRule>
    <cfRule type="cellIs" dxfId="10" priority="2" operator="between">
      <formula>0.51</formula>
      <formula>0.75</formula>
    </cfRule>
    <cfRule type="cellIs" dxfId="9" priority="3" operator="between">
      <formula>0.26</formula>
      <formula>0.5</formula>
    </cfRule>
  </conditionalFormatting>
  <conditionalFormatting sqref="M7">
    <cfRule type="cellIs" priority="21" operator="between">
      <formula>0.76</formula>
      <formula>1</formula>
    </cfRule>
    <cfRule type="cellIs" dxfId="8" priority="22" operator="between">
      <formula>0.51</formula>
      <formula>0.75</formula>
    </cfRule>
    <cfRule type="cellIs" dxfId="7" priority="23" operator="between">
      <formula>0.26</formula>
      <formula>0.5</formula>
    </cfRule>
    <cfRule type="cellIs" dxfId="6" priority="24" operator="between">
      <formula>0</formula>
      <formula>0.25</formula>
    </cfRule>
  </conditionalFormatting>
  <dataValidations count="4">
    <dataValidation allowBlank="1" showInputMessage="1" showErrorMessage="1" prompt="Celda formulada, información proveniente de la pestaña de deficiencias." sqref="E23" xr:uid="{00000000-0002-0000-0200-000000000000}"/>
    <dataValidation type="list" allowBlank="1" showInputMessage="1" showErrorMessage="1" sqref="N19:O19" xr:uid="{00000000-0002-0000-0200-000001000000}">
      <formula1>"Si,No"</formula1>
    </dataValidation>
    <dataValidation type="list" allowBlank="1" showInputMessage="1" showErrorMessage="1" sqref="N20:O20 E20:E21" xr:uid="{00000000-0002-0000-0200-000002000000}">
      <formula1>"Si, No"</formula1>
    </dataValidation>
    <dataValidation type="list" allowBlank="1" showInputMessage="1" showErrorMessage="1" sqref="E19" xr:uid="{00000000-0002-0000-0200-000003000000}">
      <formula1>"Si,No,En proceso"</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3632F543-F2B3-4A2D-9F2B-96290B11D627}">
            <xm:f>0</xm:f>
            <xm:f>'C:\Users\jdecastro\Downloads\[2025-07-21_Evaluacion_sistema_control_interno_2025_1.xlsx]Analisis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1C98E2EA-22AD-4CF9-807D-80F043E762E8}">
            <xm:f>0</xm:f>
            <xm:f>'C:\Users\jdecastro\Downloads\[2025-07-21_Evaluacion_sistema_control_interno_2025_1.xlsx]Analisis de Resultados'!#REF!</xm:f>
            <x14:dxf>
              <fill>
                <patternFill>
                  <bgColor rgb="FFFF0000"/>
                </patternFill>
              </fill>
            </x14:dxf>
          </x14:cfRule>
          <xm:sqref>K25</xm:sqref>
        </x14:conditionalFormatting>
        <x14:conditionalFormatting xmlns:xm="http://schemas.microsoft.com/office/excel/2006/main">
          <x14:cfRule type="cellIs" priority="16" operator="between" id="{571FFB5E-300E-4D13-A600-007E8AF2F51C}">
            <xm:f>0</xm:f>
            <xm:f>'C:\Users\jdecastro\Downloads\[2025-07-21_Evaluacion_sistema_control_interno_2025_1.xlsx]Analisis de Resultados'!#REF!</xm:f>
            <x14:dxf>
              <fill>
                <patternFill>
                  <bgColor rgb="FFFF0000"/>
                </patternFill>
              </fill>
            </x14:dxf>
          </x14:cfRule>
          <xm:sqref>K27</xm:sqref>
        </x14:conditionalFormatting>
        <x14:conditionalFormatting xmlns:xm="http://schemas.microsoft.com/office/excel/2006/main">
          <x14:cfRule type="cellIs" priority="12" operator="between" id="{775F4F0D-466B-4475-B6C6-3116F1F3C703}">
            <xm:f>0</xm:f>
            <xm:f>'C:\Users\jdecastro\Downloads\[2025-07-21_Evaluacion_sistema_control_interno_2025_1.xlsx]Analisis de Resultados'!#REF!</xm:f>
            <x14:dxf>
              <fill>
                <patternFill>
                  <bgColor rgb="FFFF0000"/>
                </patternFill>
              </fill>
            </x14:dxf>
          </x14:cfRule>
          <xm:sqref>K29</xm:sqref>
        </x14:conditionalFormatting>
        <x14:conditionalFormatting xmlns:xm="http://schemas.microsoft.com/office/excel/2006/main">
          <x14:cfRule type="cellIs" priority="8" operator="between" id="{92445B8E-B227-4316-AC63-4A32BF1EEF67}">
            <xm:f>0</xm:f>
            <xm:f>'C:\Users\jdecastro\Downloads\[2025-07-21_Evaluacion_sistema_control_interno_2025_1.xlsx]Analisis de Resultados'!#REF!</xm:f>
            <x14:dxf>
              <fill>
                <patternFill>
                  <bgColor rgb="FFFF0000"/>
                </patternFill>
              </fill>
            </x14:dxf>
          </x14:cfRule>
          <xm:sqref>K31</xm:sqref>
        </x14:conditionalFormatting>
        <x14:conditionalFormatting xmlns:xm="http://schemas.microsoft.com/office/excel/2006/main">
          <x14:cfRule type="cellIs" priority="4" operator="between" id="{4F7B94FE-F7D4-4644-82C3-B289EE8560E5}">
            <xm:f>0</xm:f>
            <xm:f>'C:\Users\jdecastro\Downloads\[2025-07-21_Evaluacion_sistema_control_interno_2025_1.xlsx]Analisis de Resultados'!#REF!</xm:f>
            <x14:dxf>
              <fill>
                <patternFill>
                  <bgColor rgb="FFFF0000"/>
                </patternFill>
              </fill>
            </x14:dxf>
          </x14:cfRule>
          <xm:sqref>K33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642E0-EA1E-4BBC-9AEA-9A6F750FA172}"/>
</file>

<file path=customXml/itemProps2.xml><?xml version="1.0" encoding="utf-8"?>
<ds:datastoreItem xmlns:ds="http://schemas.openxmlformats.org/officeDocument/2006/customXml" ds:itemID="{3A2D0930-B672-4874-9A21-AD5751C4AFBD}"/>
</file>

<file path=customXml/itemProps3.xml><?xml version="1.0" encoding="utf-8"?>
<ds:datastoreItem xmlns:ds="http://schemas.openxmlformats.org/officeDocument/2006/customXml" ds:itemID="{03D1676C-81E6-42EF-836F-741530E2AA9B}"/>
</file>

<file path=docProps/app.xml><?xml version="1.0" encoding="utf-8"?>
<Properties xmlns="http://schemas.openxmlformats.org/officeDocument/2006/extended-properties" xmlns:vt="http://schemas.openxmlformats.org/officeDocument/2006/docPropsVTypes">
  <Application>Microsoft Excel Online</Application>
  <Manager/>
  <Company>Ernst &amp; Young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Gomez</dc:creator>
  <cp:keywords/>
  <dc:description/>
  <cp:lastModifiedBy/>
  <cp:revision/>
  <dcterms:created xsi:type="dcterms:W3CDTF">2010-10-04T16:34:45Z</dcterms:created>
  <dcterms:modified xsi:type="dcterms:W3CDTF">2026-01-31T00:31:22Z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1714924</vt:lpwstr>
  </property>
  <property fmtid="{D5CDD505-2E9C-101B-9397-08002B2CF9AE}" pid="3" name="NXPowerLiteSettings">
    <vt:lpwstr>C7000400038000</vt:lpwstr>
  </property>
  <property fmtid="{D5CDD505-2E9C-101B-9397-08002B2CF9AE}" pid="4" name="NXPowerLiteVersion">
    <vt:lpwstr>S10.9.0</vt:lpwstr>
  </property>
</Properties>
</file>